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hidePivotFieldList="1"/>
  <mc:AlternateContent xmlns:mc="http://schemas.openxmlformats.org/markup-compatibility/2006">
    <mc:Choice Requires="x15">
      <x15ac:absPath xmlns:x15ac="http://schemas.microsoft.com/office/spreadsheetml/2010/11/ac" url="https://hdrinc-my.sharepoint.com/personal/npogorelsky_hdrinc_com/Documents/Port of Mobile CRISI/Port of Mobile Crisi Shared File/Model/"/>
    </mc:Choice>
  </mc:AlternateContent>
  <xr:revisionPtr revIDLastSave="0" documentId="8_{3348F73F-CC50-4D62-BF4C-F3F68A9CC8B3}" xr6:coauthVersionLast="47" xr6:coauthVersionMax="47" xr10:uidLastSave="{00000000-0000-0000-0000-000000000000}"/>
  <bookViews>
    <workbookView xWindow="-110" yWindow="-110" windowWidth="19420" windowHeight="11500" firstSheet="2" activeTab="7" xr2:uid="{67D70B57-FDEE-4997-ABF1-8D4F3AD95237}"/>
  </bookViews>
  <sheets>
    <sheet name="Disclaimer" sheetId="43" r:id="rId1"/>
    <sheet name="Contents" sheetId="41" r:id="rId2"/>
    <sheet name="BCA" sheetId="24" r:id="rId3"/>
    <sheet name="Inputs" sheetId="4" r:id="rId4"/>
    <sheet name="Project Schedule" sheetId="49" r:id="rId5"/>
    <sheet name="Costs" sheetId="23" r:id="rId6"/>
    <sheet name="Summary" sheetId="35" r:id="rId7"/>
    <sheet name="Sensitivity Analysis" sheetId="36" r:id="rId8"/>
    <sheet name="Miles Analysis" sheetId="65" r:id="rId9"/>
    <sheet name="Traffic Calcs" sheetId="25" r:id="rId10"/>
    <sheet name="Mobility Benefits" sheetId="6" r:id="rId11"/>
    <sheet name="Safety" sheetId="66" r:id="rId12"/>
    <sheet name="Env &amp; Comm Benefits" sheetId="67" r:id="rId13"/>
    <sheet name="O&amp;M Costs" sheetId="12" r:id="rId14"/>
    <sheet name="Residual Value Benefits " sheetId="11" r:id="rId15"/>
    <sheet name="West Yard Cost" sheetId="70" r:id="rId16"/>
    <sheet name="East Yard Cost" sheetId="69" r:id="rId17"/>
    <sheet name="Truck FAF Data" sheetId="73" r:id="rId18"/>
    <sheet name="Rail FAF Data" sheetId="74" r:id="rId19"/>
    <sheet name="MOVES" sheetId="75" r:id="rId20"/>
    <sheet name="Inflation" sheetId="62" r:id="rId21"/>
    <sheet name="USDOTBCA_GuidanceFY2026" sheetId="46" r:id="rId22"/>
  </sheets>
  <definedNames>
    <definedName name="_AtRisk_FitDataRange_FIT_6E856_B178B" localSheetId="21" hidden="1">#REF!</definedName>
    <definedName name="_AtRisk_FitDataRange_FIT_6E856_B178B" hidden="1">#REF!</definedName>
    <definedName name="_AtRisk_SimSetting_AutomaticallyGenerateReports" hidden="1">FALSE</definedName>
    <definedName name="_AtRisk_SimSetting_AutomaticResultsDisplayMode" localSheetId="19" hidden="1">2</definedName>
    <definedName name="_AtRisk_SimSetting_AutomaticResultsDisplayMode" localSheetId="21" hidden="1">2</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localSheetId="19" hidden="1">TRUE</definedName>
    <definedName name="_AtRisk_SimSetting_LiveUpdate" localSheetId="21" hidden="1">TRUE</definedName>
    <definedName name="_AtRisk_SimSetting_LiveUpdate" hidden="1">TRUE</definedName>
    <definedName name="_AtRisk_SimSetting_LiveUpdate2" hidden="1">TRUE</definedName>
    <definedName name="_AtRisk_SimSetting_LiveUpdatePeriod" hidden="1">-1</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2</definedName>
    <definedName name="_AtRisk_SimSetting_MultipleCPUManualCount" localSheetId="19" hidden="1">2</definedName>
    <definedName name="_AtRisk_SimSetting_MultipleCPUManualCount" localSheetId="21" hidden="1">8</definedName>
    <definedName name="_AtRisk_SimSetting_MultipleCPUManualCount" hidden="1">2</definedName>
    <definedName name="_AtRisk_SimSetting_MultipleCPUMode" hidden="1">2</definedName>
    <definedName name="_AtRisk_SimSetting_MultipleCPUModeV8" hidden="1">2</definedName>
    <definedName name="_AtRisk_SimSetting_RandomNumberGenerator" hidden="1">0</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Index01" hidden="1">0</definedName>
    <definedName name="_AtRisk_SimSetting_ReportOptionCustomItemItemIndex02" hidden="1">1</definedName>
    <definedName name="_AtRisk_SimSetting_ReportOptionCustomItemItemIndex03" hidden="1">2</definedName>
    <definedName name="_AtRisk_SimSetting_ReportOptionCustomItemItemIndex04" hidden="1">3</definedName>
    <definedName name="_AtRisk_SimSetting_ReportOptionCustomItemItemIndex05" hidden="1">4</definedName>
    <definedName name="_AtRisk_SimSetting_ReportOptionCustomItemItemIndex06" hidden="1">5</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localSheetId="21" hidden="1">6</definedName>
    <definedName name="_AtRisk_SimSetting_ReportOptionCustomItemsCount" hidden="1">0</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localSheetId="21" hidden="1">0</definedName>
    <definedName name="_AtRisk_SimSetting_ReportOptionReportMultiSimType" hidden="1">1</definedName>
    <definedName name="_AtRisk_SimSetting_ReportOptionReportPlacement" hidden="1">1</definedName>
    <definedName name="_AtRisk_SimSetting_ReportOptionReportSelection" localSheetId="19" hidden="1">0</definedName>
    <definedName name="_AtRisk_SimSetting_ReportOptionReportSelection" localSheetId="21" hidden="1">0</definedName>
    <definedName name="_AtRisk_SimSetting_ReportOptionReportSelection" hidden="1">2</definedName>
    <definedName name="_AtRisk_SimSetting_ReportOptionReportsFileType" hidden="1">1</definedName>
    <definedName name="_AtRisk_SimSetting_ReportOptionReportStyle" localSheetId="21" hidden="1">2</definedName>
    <definedName name="_AtRisk_SimSetting_ReportOptionReportStyle" hidden="1">1</definedName>
    <definedName name="_AtRisk_SimSetting_ReportOptionSelectiveQR" hidden="1">FALSE</definedName>
    <definedName name="_AtRisk_SimSetting_ReportsList" localSheetId="19" hidden="1">0</definedName>
    <definedName name="_AtRisk_SimSetting_ReportsList" localSheetId="21" hidden="1">0</definedName>
    <definedName name="_AtRisk_SimSetting_ReportsList" hidden="1">2</definedName>
    <definedName name="_AtRisk_SimSetting_ReportsList2" hidden="1">0</definedName>
    <definedName name="_AtRisk_SimSetting_ShowSimulationProgressWindow" hidden="1">TRUE</definedName>
    <definedName name="_AtRisk_SimSetting_SimName001" hidden="1">"Scenario 1"</definedName>
    <definedName name="_AtRisk_SimSetting_SimName002" hidden="1">"Scenario 2"</definedName>
    <definedName name="_AtRisk_SimSetting_SimName003" hidden="1">"Scenario 3"</definedName>
    <definedName name="_AtRisk_SimSetting_SimNameCount" hidden="1">0</definedName>
    <definedName name="_AtRisk_SimSetting_SmartSensitivityAnalysisEnabled" hidden="1">FALSE</definedName>
    <definedName name="_AtRisk_SimSetting_StatisticFunctionUpdating" hidden="1">1</definedName>
    <definedName name="_AtRisk_SimSetting_StdRecalcActiveSimulationNumber" hidden="1">1</definedName>
    <definedName name="_AtRisk_SimSetting_StdRecalcBehavior" localSheetId="21" hidden="1">1</definedName>
    <definedName name="_AtRisk_SimSetting_StdRecalcBehavior" hidden="1">0</definedName>
    <definedName name="_AtRisk_SimSetting_StdRecalcWithoutRiskStatic" localSheetId="21" hidden="1">0</definedName>
    <definedName name="_AtRisk_SimSetting_StdRecalcWithoutRiskStatic" hidden="1">1</definedName>
    <definedName name="_AtRisk_SimSetting_StdRecalcWithoutRiskStaticPercentile" hidden="1">0.5</definedName>
    <definedName name="_Fill" localSheetId="8" hidden="1">#REF!</definedName>
    <definedName name="_Fill" localSheetId="19" hidden="1">#REF!</definedName>
    <definedName name="_Fill" hidden="1">#REF!</definedName>
    <definedName name="_fill2" hidden="1">#REF!</definedName>
    <definedName name="_Key1" hidden="1">#REF!</definedName>
    <definedName name="_Key2" hidden="1">#REF!</definedName>
    <definedName name="_Order1" hidden="1">255</definedName>
    <definedName name="_Order2" hidden="1">255</definedName>
    <definedName name="_Sort" hidden="1">#REF!</definedName>
    <definedName name="_xlcn.WorksheetConnection_trainflowsV4.xlsxtblRefLines1" localSheetId="21" hidden="1">#REF!</definedName>
    <definedName name="_xlcn.WorksheetConnection_trainflowsV4.xlsxtblRefLines1" hidden="1">#REF!</definedName>
    <definedName name="_xlcn.WorksheetConnection_trainflowsV4.xlsxtblSubdivisions1" localSheetId="21" hidden="1">#REF!</definedName>
    <definedName name="_xlcn.WorksheetConnection_trainflowsV4.xlsxtblSubdivisions1" hidden="1">#REF!</definedName>
    <definedName name="_xlcn.WorksheetConnection_trainflowsV4.xlsxtblTpdAlloc1" localSheetId="21" hidden="1">#REF!</definedName>
    <definedName name="_xlcn.WorksheetConnection_trainflowsV4.xlsxtblTpdAlloc1" hidden="1">#REF!</definedName>
    <definedName name="BEx3O85IKWARA6NCJOLRBRJFMEWW" localSheetId="21" hidden="1">#REF!</definedName>
    <definedName name="BEx3O85IKWARA6NCJOLRBRJFMEWW" hidden="1">#REF!</definedName>
    <definedName name="BEx5MLQZM68YQSKARVWTTPINFQ2C" localSheetId="21" hidden="1">#REF!</definedName>
    <definedName name="BEx5MLQZM68YQSKARVWTTPINFQ2C" hidden="1">#REF!</definedName>
    <definedName name="BExERWCEBKQRYWRQLYJ4UCMMKTHG" localSheetId="21" hidden="1">#REF!</definedName>
    <definedName name="BExERWCEBKQRYWRQLYJ4UCMMKTHG" hidden="1">#REF!</definedName>
    <definedName name="BExMBYPQDG9AYDQ5E8IECVFREPO6" localSheetId="21" hidden="1">#REF!</definedName>
    <definedName name="BExMBYPQDG9AYDQ5E8IECVFREPO6" hidden="1">#REF!</definedName>
    <definedName name="BExQ9ZLYHWABXAA9NJDW8ZS0UQ9P" localSheetId="21" hidden="1">#REF!</definedName>
    <definedName name="BExQ9ZLYHWABXAA9NJDW8ZS0UQ9P" hidden="1">#REF!</definedName>
    <definedName name="BExTUY9WNSJ91GV8CP0SKJTEIV82" localSheetId="21" hidden="1">#REF!</definedName>
    <definedName name="BExTUY9WNSJ91GV8CP0SKJTEIV82" hidden="1">#REF!</definedName>
    <definedName name="BIG" localSheetId="3" hidden="1">{#N/A,#N/A,FALSE,"Pricing";#N/A,#N/A,FALSE,"Summary";#N/A,#N/A,FALSE,"CompProd";#N/A,#N/A,FALSE,"CompJobhrs";#N/A,#N/A,FALSE,"Escalation";#N/A,#N/A,FALSE,"Contingency";#N/A,#N/A,FALSE,"GM";#N/A,#N/A,FALSE,"CompWage";#N/A,#N/A,FALSE,"costSum"}</definedName>
    <definedName name="BIG" localSheetId="8" hidden="1">{#N/A,#N/A,FALSE,"Pricing";#N/A,#N/A,FALSE,"Summary";#N/A,#N/A,FALSE,"CompProd";#N/A,#N/A,FALSE,"CompJobhrs";#N/A,#N/A,FALSE,"Escalation";#N/A,#N/A,FALSE,"Contingency";#N/A,#N/A,FALSE,"GM";#N/A,#N/A,FALSE,"CompWage";#N/A,#N/A,FALSE,"costSum"}</definedName>
    <definedName name="BIG" localSheetId="19" hidden="1">{#N/A,#N/A,FALSE,"Pricing";#N/A,#N/A,FALSE,"Summary";#N/A,#N/A,FALSE,"CompProd";#N/A,#N/A,FALSE,"CompJobhrs";#N/A,#N/A,FALSE,"Escalation";#N/A,#N/A,FALSE,"Contingency";#N/A,#N/A,FALSE,"GM";#N/A,#N/A,FALSE,"CompWage";#N/A,#N/A,FALSE,"costSum"}</definedName>
    <definedName name="BIG" localSheetId="21" hidden="1">{#N/A,#N/A,FALSE,"Pricing";#N/A,#N/A,FALSE,"Summary";#N/A,#N/A,FALSE,"CompProd";#N/A,#N/A,FALSE,"CompJobhrs";#N/A,#N/A,FALSE,"Escalation";#N/A,#N/A,FALSE,"Contingency";#N/A,#N/A,FALSE,"GM";#N/A,#N/A,FALSE,"CompWage";#N/A,#N/A,FALSE,"costSum"}</definedName>
    <definedName name="BIG" hidden="1">{#N/A,#N/A,FALSE,"Pricing";#N/A,#N/A,FALSE,"Summary";#N/A,#N/A,FALSE,"CompProd";#N/A,#N/A,FALSE,"CompJobhrs";#N/A,#N/A,FALSE,"Escalation";#N/A,#N/A,FALSE,"Contingency";#N/A,#N/A,FALSE,"GM";#N/A,#N/A,FALSE,"CompWage";#N/A,#N/A,FALSE,"costSum"}</definedName>
    <definedName name="BSIWhichPageSetup" hidden="1">1</definedName>
    <definedName name="BSIWhichPageSetup_0" hidden="1">"0þ"</definedName>
    <definedName name="CADperUSD" localSheetId="21" hidden="1">#REF!</definedName>
    <definedName name="CADperUSD" hidden="1">#REF!</definedName>
    <definedName name="CHUCK" localSheetId="3" hidden="1">{#N/A,#N/A,FALSE,"Pricing";#N/A,#N/A,FALSE,"Summary";#N/A,#N/A,FALSE,"CompProd";#N/A,#N/A,FALSE,"CompJobhrs";#N/A,#N/A,FALSE,"Escalation";#N/A,#N/A,FALSE,"Contingency";#N/A,#N/A,FALSE,"GM";#N/A,#N/A,FALSE,"CompWage";#N/A,#N/A,FALSE,"costSum"}</definedName>
    <definedName name="CHUCK" localSheetId="8" hidden="1">{#N/A,#N/A,FALSE,"Pricing";#N/A,#N/A,FALSE,"Summary";#N/A,#N/A,FALSE,"CompProd";#N/A,#N/A,FALSE,"CompJobhrs";#N/A,#N/A,FALSE,"Escalation";#N/A,#N/A,FALSE,"Contingency";#N/A,#N/A,FALSE,"GM";#N/A,#N/A,FALSE,"CompWage";#N/A,#N/A,FALSE,"costSum"}</definedName>
    <definedName name="CHUCK" localSheetId="19" hidden="1">{#N/A,#N/A,FALSE,"Pricing";#N/A,#N/A,FALSE,"Summary";#N/A,#N/A,FALSE,"CompProd";#N/A,#N/A,FALSE,"CompJobhrs";#N/A,#N/A,FALSE,"Escalation";#N/A,#N/A,FALSE,"Contingency";#N/A,#N/A,FALSE,"GM";#N/A,#N/A,FALSE,"CompWage";#N/A,#N/A,FALSE,"costSum"}</definedName>
    <definedName name="CHUCK" localSheetId="21" hidden="1">{#N/A,#N/A,FALSE,"Pricing";#N/A,#N/A,FALSE,"Summary";#N/A,#N/A,FALSE,"CompProd";#N/A,#N/A,FALSE,"CompJobhrs";#N/A,#N/A,FALSE,"Escalation";#N/A,#N/A,FALSE,"Contingency";#N/A,#N/A,FALSE,"GM";#N/A,#N/A,FALSE,"CompWage";#N/A,#N/A,FALSE,"costSum"}</definedName>
    <definedName name="CHUCK" hidden="1">{#N/A,#N/A,FALSE,"Pricing";#N/A,#N/A,FALSE,"Summary";#N/A,#N/A,FALSE,"CompProd";#N/A,#N/A,FALSE,"CompJobhrs";#N/A,#N/A,FALSE,"Escalation";#N/A,#N/A,FALSE,"Contingency";#N/A,#N/A,FALSE,"GM";#N/A,#N/A,FALSE,"CompWage";#N/A,#N/A,FALSE,"costSum"}</definedName>
    <definedName name="Client.Name">Disclaimer!$B$4</definedName>
    <definedName name="Disclaimer" localSheetId="3" hidden="1">{#N/A,#N/A,FALSE,"Pricing";#N/A,#N/A,FALSE,"Summary";#N/A,#N/A,FALSE,"CompProd";#N/A,#N/A,FALSE,"CompJobhrs";#N/A,#N/A,FALSE,"Escalation";#N/A,#N/A,FALSE,"Contingency";#N/A,#N/A,FALSE,"GM";#N/A,#N/A,FALSE,"CompWage";#N/A,#N/A,FALSE,"costSum"}</definedName>
    <definedName name="Disclaimer" localSheetId="8" hidden="1">{#N/A,#N/A,FALSE,"Pricing";#N/A,#N/A,FALSE,"Summary";#N/A,#N/A,FALSE,"CompProd";#N/A,#N/A,FALSE,"CompJobhrs";#N/A,#N/A,FALSE,"Escalation";#N/A,#N/A,FALSE,"Contingency";#N/A,#N/A,FALSE,"GM";#N/A,#N/A,FALSE,"CompWage";#N/A,#N/A,FALSE,"costSum"}</definedName>
    <definedName name="Disclaimer" localSheetId="21" hidden="1">{#N/A,#N/A,FALSE,"Pricing";#N/A,#N/A,FALSE,"Summary";#N/A,#N/A,FALSE,"CompProd";#N/A,#N/A,FALSE,"CompJobhrs";#N/A,#N/A,FALSE,"Escalation";#N/A,#N/A,FALSE,"Contingency";#N/A,#N/A,FALSE,"GM";#N/A,#N/A,FALSE,"CompWage";#N/A,#N/A,FALSE,"costSum"}</definedName>
    <definedName name="Disclaimer" hidden="1">{#N/A,#N/A,FALSE,"Pricing";#N/A,#N/A,FALSE,"Summary";#N/A,#N/A,FALSE,"CompProd";#N/A,#N/A,FALSE,"CompJobhrs";#N/A,#N/A,FALSE,"Escalation";#N/A,#N/A,FALSE,"Contingency";#N/A,#N/A,FALSE,"GM";#N/A,#N/A,FALSE,"CompWage";#N/A,#N/A,FALSE,"costSum"}</definedName>
    <definedName name="Emissions" hidden="1">2</definedName>
    <definedName name="EmissionsCost_Lookup" localSheetId="8" hidden="1">{"'2-35'!$A$1:$M$48"}</definedName>
    <definedName name="EmissionsCost_Lookup" localSheetId="19" hidden="1">{"'2-35'!$A$1:$M$48"}</definedName>
    <definedName name="EmissionsCost_Lookup" localSheetId="21" hidden="1">{"'2-35'!$A$1:$M$48"}</definedName>
    <definedName name="EmissionsCost_Lookup" hidden="1">{"'2-35'!$A$1:$M$48"}</definedName>
    <definedName name="emissionssummary" hidden="1">2</definedName>
    <definedName name="First.Year" localSheetId="21" hidden="1">#REF!</definedName>
    <definedName name="First.Year" hidden="1">#REF!</definedName>
    <definedName name="Grams.Per.Ton" localSheetId="21" hidden="1">#REF!</definedName>
    <definedName name="Grams.Per.Ton" hidden="1">#REF!</definedName>
    <definedName name="Grant.Name">Disclaimer!$B$6</definedName>
    <definedName name="h" localSheetId="21" hidden="1">#REF!</definedName>
    <definedName name="h" hidden="1">#REF!</definedName>
    <definedName name="HTML_CodePage" hidden="1">1252</definedName>
    <definedName name="HTML_Control" localSheetId="3" hidden="1">{"'2-35'!$A$1:$M$48"}</definedName>
    <definedName name="HTML_Control" localSheetId="8" hidden="1">{"'2-35'!$A$1:$M$48"}</definedName>
    <definedName name="HTML_Control" localSheetId="19" hidden="1">{"'2-35'!$A$1:$M$48"}</definedName>
    <definedName name="HTML_Control" localSheetId="21" hidden="1">{"'2-17'!$A$1:$Q$34"}</definedName>
    <definedName name="HTML_Control" hidden="1">{"'2-35'!$A$1:$M$48"}</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localSheetId="21" hidden="1">"C:\WINNT\Profiles\dmegret\Desktop\current tasks\nts2000\nts2000\HTML\Ch2_web\2-17.htm"</definedName>
    <definedName name="HTML_PathFile" hidden="1">"C:\WINNT\Profiles\dmegret\Desktop\current tasks\nts2000\nts2000\HTML\Ch2_web\2-35.htm"</definedName>
    <definedName name="HTML_Title" localSheetId="21" hidden="1">"Table 2-17"</definedName>
    <definedName name="HTML_Title" hidden="1">"Table 2-35"</definedName>
    <definedName name="HTMLControl" localSheetId="8" hidden="1">{"'2-35'!$A$1:$M$48"}</definedName>
    <definedName name="HTMLControl" localSheetId="21" hidden="1">{"'2-35'!$A$1:$M$48"}</definedName>
    <definedName name="HTMLControl" hidden="1">{"'2-35'!$A$1:$M$48"}</definedName>
    <definedName name="IQ_ADDIN" hidden="1">"AUTO"</definedName>
    <definedName name="IQ_CH" hidden="1">110000</definedName>
    <definedName name="IQ_CQ" hidden="1">5000</definedName>
    <definedName name="IQ_CY" hidden="1">10000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MONTH" hidden="1">15000</definedName>
    <definedName name="IQ_NAMES_REVISION_DATE_" hidden="1">39926.455</definedName>
    <definedName name="IQ_NTM" hidden="1">6000</definedName>
    <definedName name="IQ_TODAY" hidden="1">0</definedName>
    <definedName name="IQ_WEEK" hidden="1">50000</definedName>
    <definedName name="IQ_YTD" hidden="1">3000</definedName>
    <definedName name="JANA" localSheetId="3" hidden="1">{#N/A,#N/A,FALSE,"Pricing";#N/A,#N/A,FALSE,"Summary";#N/A,#N/A,FALSE,"CompProd";#N/A,#N/A,FALSE,"CompJobhrs";#N/A,#N/A,FALSE,"Escalation";#N/A,#N/A,FALSE,"Contingency";#N/A,#N/A,FALSE,"GM";#N/A,#N/A,FALSE,"CompWage";#N/A,#N/A,FALSE,"costSum"}</definedName>
    <definedName name="JANA" localSheetId="8" hidden="1">{#N/A,#N/A,FALSE,"Pricing";#N/A,#N/A,FALSE,"Summary";#N/A,#N/A,FALSE,"CompProd";#N/A,#N/A,FALSE,"CompJobhrs";#N/A,#N/A,FALSE,"Escalation";#N/A,#N/A,FALSE,"Contingency";#N/A,#N/A,FALSE,"GM";#N/A,#N/A,FALSE,"CompWage";#N/A,#N/A,FALSE,"costSum"}</definedName>
    <definedName name="JANA" localSheetId="19" hidden="1">{#N/A,#N/A,FALSE,"Pricing";#N/A,#N/A,FALSE,"Summary";#N/A,#N/A,FALSE,"CompProd";#N/A,#N/A,FALSE,"CompJobhrs";#N/A,#N/A,FALSE,"Escalation";#N/A,#N/A,FALSE,"Contingency";#N/A,#N/A,FALSE,"GM";#N/A,#N/A,FALSE,"CompWage";#N/A,#N/A,FALSE,"costSum"}</definedName>
    <definedName name="JANA" localSheetId="21" hidden="1">{#N/A,#N/A,FALSE,"Pricing";#N/A,#N/A,FALSE,"Summary";#N/A,#N/A,FALSE,"CompProd";#N/A,#N/A,FALSE,"CompJobhrs";#N/A,#N/A,FALSE,"Escalation";#N/A,#N/A,FALSE,"Contingency";#N/A,#N/A,FALSE,"GM";#N/A,#N/A,FALSE,"CompWage";#N/A,#N/A,FALSE,"costSum"}</definedName>
    <definedName name="JANA" hidden="1">{#N/A,#N/A,FALSE,"Pricing";#N/A,#N/A,FALSE,"Summary";#N/A,#N/A,FALSE,"CompProd";#N/A,#N/A,FALSE,"CompJobhrs";#N/A,#N/A,FALSE,"Escalation";#N/A,#N/A,FALSE,"Contingency";#N/A,#N/A,FALSE,"GM";#N/A,#N/A,FALSE,"CompWage";#N/A,#N/A,FALSE,"costSum"}</definedName>
    <definedName name="Pal_Workbook_GUID" hidden="1">"3XHXXQSLF67LVVUJ7F3SICY8"</definedName>
    <definedName name="Project.Name">Disclaimer!$B$5</definedName>
    <definedName name="RiskAfterRecalcMacro" hidden="1">""</definedName>
    <definedName name="RiskAfterSimMacro" localSheetId="19" hidden="1">"CopyPaste"</definedName>
    <definedName name="RiskAfterSimMacro" localSheetId="21" hidden="1">""</definedName>
    <definedName name="RiskAfterSimMacro" hidden="1">""</definedName>
    <definedName name="riskATSSboxGraph" hidden="1">FALSE</definedName>
    <definedName name="riskATSSincludeSimtables" hidden="1">TRUE</definedName>
    <definedName name="riskATSSinputsGraphs" hidden="1">FALSE</definedName>
    <definedName name="riskATSSoutputStatistic" hidden="1">3</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FALSE</definedName>
    <definedName name="riskATSToutputStatistic" hidden="1">4</definedName>
    <definedName name="riskATSTprintReport" hidden="1">FALSE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localSheetId="19" hidden="1">"ClearProjectSelection"</definedName>
    <definedName name="RiskBeforeSimMacro" localSheetId="21" hidden="1">""</definedName>
    <definedName name="RiskBeforeSimMacro" hidden="1">""</definedName>
    <definedName name="RiskCollectDistributionSamples" localSheetId="21" hidden="1">2</definedName>
    <definedName name="RiskCollectDistributionSamples" hidden="1">0</definedName>
    <definedName name="RiskFixedSeed" hidden="1">1917</definedName>
    <definedName name="RiskHasSettings" localSheetId="19" hidden="1">8</definedName>
    <definedName name="RiskHasSettings" localSheetId="21" hidden="1">7</definedName>
    <definedName name="RiskHasSettings" hidden="1">8</definedName>
    <definedName name="RiskIsStatistics" hidden="1">TRUE</definedName>
    <definedName name="RiskMinimizeOnStart" hidden="1">FALSE</definedName>
    <definedName name="RiskMonitorConvergence" hidden="1">FALSE</definedName>
    <definedName name="RiskMultipleCPUSupportEnabled" hidden="1">FALSE</definedName>
    <definedName name="RiskNumIterations" localSheetId="19" hidden="1">1000</definedName>
    <definedName name="RiskNumIterations" localSheetId="21" hidden="1">5000</definedName>
    <definedName name="RiskNumIterations" hidden="1">10000</definedName>
    <definedName name="RiskNumSimulations" localSheetId="19" hidden="1">1</definedName>
    <definedName name="RiskNumSimulations" localSheetId="21" hidden="1">1</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electedCell" hidden="1">"$F$108"</definedName>
    <definedName name="RiskSelectedNameCell1" hidden="1">"$C$108"</definedName>
    <definedName name="RiskSelectedNameCell2" hidden="1">"$F$2"</definedName>
    <definedName name="RiskStandardRecalc" localSheetId="21" hidden="1">2</definedName>
    <definedName name="RiskStandardRecalc" hidden="1">0</definedName>
    <definedName name="RiskSwapState" hidden="1">FALSE</definedName>
    <definedName name="RiskUpdateDisplay" hidden="1">FALSE</definedName>
    <definedName name="RiskUseDifferentSeedForEachSim" hidden="1">FALSE</definedName>
    <definedName name="RiskUseFixedSeed" hidden="1">TRUE</definedName>
    <definedName name="RiskUseMultipleCPUs" hidden="1">FALSE</definedName>
    <definedName name="SAPBEXhrIndnt" hidden="1">"Wide"</definedName>
    <definedName name="SAPBEXrevision" hidden="1">155</definedName>
    <definedName name="SAPBEXsysID" hidden="1">"BW1"</definedName>
    <definedName name="SAPBEXwbID" hidden="1">"4KMQ010X11576Q0TU5NA2YSZY"</definedName>
    <definedName name="SAPsysID" hidden="1">"708C5W7SBKP804JT78WJ0JNKI"</definedName>
    <definedName name="SAPwbID" hidden="1">"ARS"</definedName>
    <definedName name="sencount" hidden="1">1</definedName>
    <definedName name="Services2" localSheetId="3" hidden="1">{#N/A,#N/A,FALSE,"Pricing";#N/A,#N/A,FALSE,"Summary";#N/A,#N/A,FALSE,"CompProd";#N/A,#N/A,FALSE,"CompJobhrs";#N/A,#N/A,FALSE,"Escalation";#N/A,#N/A,FALSE,"Contingency";#N/A,#N/A,FALSE,"GM";#N/A,#N/A,FALSE,"CompWage";#N/A,#N/A,FALSE,"costSum"}</definedName>
    <definedName name="Services2" localSheetId="8" hidden="1">{#N/A,#N/A,FALSE,"Pricing";#N/A,#N/A,FALSE,"Summary";#N/A,#N/A,FALSE,"CompProd";#N/A,#N/A,FALSE,"CompJobhrs";#N/A,#N/A,FALSE,"Escalation";#N/A,#N/A,FALSE,"Contingency";#N/A,#N/A,FALSE,"GM";#N/A,#N/A,FALSE,"CompWage";#N/A,#N/A,FALSE,"costSum"}</definedName>
    <definedName name="Services2" localSheetId="19" hidden="1">{#N/A,#N/A,FALSE,"Pricing";#N/A,#N/A,FALSE,"Summary";#N/A,#N/A,FALSE,"CompProd";#N/A,#N/A,FALSE,"CompJobhrs";#N/A,#N/A,FALSE,"Escalation";#N/A,#N/A,FALSE,"Contingency";#N/A,#N/A,FALSE,"GM";#N/A,#N/A,FALSE,"CompWage";#N/A,#N/A,FALSE,"costSum"}</definedName>
    <definedName name="Services2" localSheetId="21" hidden="1">{#N/A,#N/A,FALSE,"Pricing";#N/A,#N/A,FALSE,"Summary";#N/A,#N/A,FALSE,"CompProd";#N/A,#N/A,FALSE,"CompJobhrs";#N/A,#N/A,FALSE,"Escalation";#N/A,#N/A,FALSE,"Contingency";#N/A,#N/A,FALSE,"GM";#N/A,#N/A,FALSE,"CompWage";#N/A,#N/A,FALSE,"costSum"}</definedName>
    <definedName name="Services2" hidden="1">{#N/A,#N/A,FALSE,"Pricing";#N/A,#N/A,FALSE,"Summary";#N/A,#N/A,FALSE,"CompProd";#N/A,#N/A,FALSE,"CompJobhrs";#N/A,#N/A,FALSE,"Escalation";#N/A,#N/A,FALSE,"Contingency";#N/A,#N/A,FALSE,"GM";#N/A,#N/A,FALSE,"CompWage";#N/A,#N/A,FALSE,"costSum"}</definedName>
    <definedName name="Study.Period" localSheetId="21" hidden="1">#REF!</definedName>
    <definedName name="Study.Period" hidden="1">#REF!</definedName>
    <definedName name="temp" localSheetId="3" hidden="1">{#N/A,#N/A,FALSE,"Pricing";#N/A,#N/A,FALSE,"Summary";#N/A,#N/A,FALSE,"CompProd";#N/A,#N/A,FALSE,"CompJobhrs";#N/A,#N/A,FALSE,"Escalation";#N/A,#N/A,FALSE,"Contingency";#N/A,#N/A,FALSE,"GM";#N/A,#N/A,FALSE,"CompWage";#N/A,#N/A,FALSE,"costSum"}</definedName>
    <definedName name="temp" localSheetId="8" hidden="1">{#N/A,#N/A,FALSE,"Pricing";#N/A,#N/A,FALSE,"Summary";#N/A,#N/A,FALSE,"CompProd";#N/A,#N/A,FALSE,"CompJobhrs";#N/A,#N/A,FALSE,"Escalation";#N/A,#N/A,FALSE,"Contingency";#N/A,#N/A,FALSE,"GM";#N/A,#N/A,FALSE,"CompWage";#N/A,#N/A,FALSE,"costSum"}</definedName>
    <definedName name="temp" localSheetId="19" hidden="1">{#N/A,#N/A,FALSE,"Pricing";#N/A,#N/A,FALSE,"Summary";#N/A,#N/A,FALSE,"CompProd";#N/A,#N/A,FALSE,"CompJobhrs";#N/A,#N/A,FALSE,"Escalation";#N/A,#N/A,FALSE,"Contingency";#N/A,#N/A,FALSE,"GM";#N/A,#N/A,FALSE,"CompWage";#N/A,#N/A,FALSE,"costSum"}</definedName>
    <definedName name="temp" localSheetId="21" hidden="1">{#N/A,#N/A,FALSE,"Pricing";#N/A,#N/A,FALSE,"Summary";#N/A,#N/A,FALSE,"CompProd";#N/A,#N/A,FALSE,"CompJobhrs";#N/A,#N/A,FALSE,"Escalation";#N/A,#N/A,FALSE,"Contingency";#N/A,#N/A,FALSE,"GM";#N/A,#N/A,FALSE,"CompWage";#N/A,#N/A,FALSE,"costSum"}</definedName>
    <definedName name="temp" hidden="1">{#N/A,#N/A,FALSE,"Pricing";#N/A,#N/A,FALSE,"Summary";#N/A,#N/A,FALSE,"CompProd";#N/A,#N/A,FALSE,"CompJobhrs";#N/A,#N/A,FALSE,"Escalation";#N/A,#N/A,FALSE,"Contingency";#N/A,#N/A,FALSE,"GM";#N/A,#N/A,FALSE,"CompWage";#N/A,#N/A,FALSE,"costSum"}</definedName>
    <definedName name="test" localSheetId="3" hidden="1">{#N/A,#N/A,FALSE,"Pricing";#N/A,#N/A,FALSE,"Summary";#N/A,#N/A,FALSE,"CompProd";#N/A,#N/A,FALSE,"CompJobhrs";#N/A,#N/A,FALSE,"Escalation";#N/A,#N/A,FALSE,"Contingency";#N/A,#N/A,FALSE,"GM";#N/A,#N/A,FALSE,"CompWage";#N/A,#N/A,FALSE,"costSum"}</definedName>
    <definedName name="test" localSheetId="8" hidden="1">{#N/A,#N/A,FALSE,"Pricing";#N/A,#N/A,FALSE,"Summary";#N/A,#N/A,FALSE,"CompProd";#N/A,#N/A,FALSE,"CompJobhrs";#N/A,#N/A,FALSE,"Escalation";#N/A,#N/A,FALSE,"Contingency";#N/A,#N/A,FALSE,"GM";#N/A,#N/A,FALSE,"CompWage";#N/A,#N/A,FALSE,"costSum"}</definedName>
    <definedName name="test" localSheetId="19" hidden="1">{#N/A,#N/A,FALSE,"Pricing";#N/A,#N/A,FALSE,"Summary";#N/A,#N/A,FALSE,"CompProd";#N/A,#N/A,FALSE,"CompJobhrs";#N/A,#N/A,FALSE,"Escalation";#N/A,#N/A,FALSE,"Contingency";#N/A,#N/A,FALSE,"GM";#N/A,#N/A,FALSE,"CompWage";#N/A,#N/A,FALSE,"costSum"}</definedName>
    <definedName name="test" localSheetId="21" hidden="1">{#N/A,#N/A,FALSE,"Pricing";#N/A,#N/A,FALSE,"Summary";#N/A,#N/A,FALSE,"CompProd";#N/A,#N/A,FALSE,"CompJobhrs";#N/A,#N/A,FALSE,"Escalation";#N/A,#N/A,FALSE,"Contingency";#N/A,#N/A,FALSE,"GM";#N/A,#N/A,FALSE,"CompWage";#N/A,#N/A,FALSE,"costSum"}</definedName>
    <definedName name="test" hidden="1">{#N/A,#N/A,FALSE,"Pricing";#N/A,#N/A,FALSE,"Summary";#N/A,#N/A,FALSE,"CompProd";#N/A,#N/A,FALSE,"CompJobhrs";#N/A,#N/A,FALSE,"Escalation";#N/A,#N/A,FALSE,"Contingency";#N/A,#N/A,FALSE,"GM";#N/A,#N/A,FALSE,"CompWage";#N/A,#N/A,FALSE,"costSum"}</definedName>
    <definedName name="vbv" localSheetId="3" hidden="1">{#N/A,#N/A,FALSE,"Pricing";#N/A,#N/A,FALSE,"Summary";#N/A,#N/A,FALSE,"CompProd";#N/A,#N/A,FALSE,"CompJobhrs";#N/A,#N/A,FALSE,"Escalation";#N/A,#N/A,FALSE,"Contingency";#N/A,#N/A,FALSE,"GM";#N/A,#N/A,FALSE,"CompWage";#N/A,#N/A,FALSE,"costSum"}</definedName>
    <definedName name="vbv" localSheetId="8" hidden="1">{#N/A,#N/A,FALSE,"Pricing";#N/A,#N/A,FALSE,"Summary";#N/A,#N/A,FALSE,"CompProd";#N/A,#N/A,FALSE,"CompJobhrs";#N/A,#N/A,FALSE,"Escalation";#N/A,#N/A,FALSE,"Contingency";#N/A,#N/A,FALSE,"GM";#N/A,#N/A,FALSE,"CompWage";#N/A,#N/A,FALSE,"costSum"}</definedName>
    <definedName name="vbv" localSheetId="21" hidden="1">{#N/A,#N/A,FALSE,"Pricing";#N/A,#N/A,FALSE,"Summary";#N/A,#N/A,FALSE,"CompProd";#N/A,#N/A,FALSE,"CompJobhrs";#N/A,#N/A,FALSE,"Escalation";#N/A,#N/A,FALSE,"Contingency";#N/A,#N/A,FALSE,"GM";#N/A,#N/A,FALSE,"CompWage";#N/A,#N/A,FALSE,"costSum"}</definedName>
    <definedName name="vbv" hidden="1">{#N/A,#N/A,FALSE,"Pricing";#N/A,#N/A,FALSE,"Summary";#N/A,#N/A,FALSE,"CompProd";#N/A,#N/A,FALSE,"CompJobhrs";#N/A,#N/A,FALSE,"Escalation";#N/A,#N/A,FALSE,"Contingency";#N/A,#N/A,FALSE,"GM";#N/A,#N/A,FALSE,"CompWage";#N/A,#N/A,FALSE,"costSum"}</definedName>
    <definedName name="wrn.all." localSheetId="3" hidden="1">{#N/A,#N/A,FALSE,"Pricing";#N/A,#N/A,FALSE,"Summary";#N/A,#N/A,FALSE,"CompProd";#N/A,#N/A,FALSE,"CompJobhrs";#N/A,#N/A,FALSE,"Escalation";#N/A,#N/A,FALSE,"Contingency";#N/A,#N/A,FALSE,"GM";#N/A,#N/A,FALSE,"CompWage";#N/A,#N/A,FALSE,"costSum"}</definedName>
    <definedName name="wrn.all." localSheetId="8" hidden="1">{#N/A,#N/A,FALSE,"Pricing";#N/A,#N/A,FALSE,"Summary";#N/A,#N/A,FALSE,"CompProd";#N/A,#N/A,FALSE,"CompJobhrs";#N/A,#N/A,FALSE,"Escalation";#N/A,#N/A,FALSE,"Contingency";#N/A,#N/A,FALSE,"GM";#N/A,#N/A,FALSE,"CompWage";#N/A,#N/A,FALSE,"costSum"}</definedName>
    <definedName name="wrn.all." localSheetId="19" hidden="1">{#N/A,#N/A,FALSE,"Pricing";#N/A,#N/A,FALSE,"Summary";#N/A,#N/A,FALSE,"CompProd";#N/A,#N/A,FALSE,"CompJobhrs";#N/A,#N/A,FALSE,"Escalation";#N/A,#N/A,FALSE,"Contingency";#N/A,#N/A,FALSE,"GM";#N/A,#N/A,FALSE,"CompWage";#N/A,#N/A,FALSE,"costSum"}</definedName>
    <definedName name="wrn.all." localSheetId="21" hidden="1">{#N/A,#N/A,FALSE,"Pricing";#N/A,#N/A,FALSE,"Summary";#N/A,#N/A,FALSE,"CompProd";#N/A,#N/A,FALSE,"CompJobhrs";#N/A,#N/A,FALSE,"Escalation";#N/A,#N/A,FALSE,"Contingency";#N/A,#N/A,FALSE,"GM";#N/A,#N/A,FALSE,"CompWage";#N/A,#N/A,FALSE,"costSum"}</definedName>
    <definedName name="wrn.all." hidden="1">{#N/A,#N/A,FALSE,"Pricing";#N/A,#N/A,FALSE,"Summary";#N/A,#N/A,FALSE,"CompProd";#N/A,#N/A,FALSE,"CompJobhrs";#N/A,#N/A,FALSE,"Escalation";#N/A,#N/A,FALSE,"Contingency";#N/A,#N/A,FALSE,"GM";#N/A,#N/A,FALSE,"CompWage";#N/A,#N/A,FALSE,"costSum"}</definedName>
    <definedName name="wrn.ESTIMATE." localSheetId="3" hidden="1">{#N/A,#N/A,FALSE,"SUM";#N/A,#N/A,FALSE,"MECH.";#N/A,#N/A,FALSE,"PIPE";#N/A,#N/A,FALSE,"ELECT";#N/A,#N/A,FALSE,"PR CONT";#N/A,#N/A,FALSE,"STRUCT"}</definedName>
    <definedName name="wrn.ESTIMATE." localSheetId="8" hidden="1">{#N/A,#N/A,FALSE,"SUM";#N/A,#N/A,FALSE,"MECH.";#N/A,#N/A,FALSE,"PIPE";#N/A,#N/A,FALSE,"ELECT";#N/A,#N/A,FALSE,"PR CONT";#N/A,#N/A,FALSE,"STRUCT"}</definedName>
    <definedName name="wrn.ESTIMATE." localSheetId="19" hidden="1">{#N/A,#N/A,FALSE,"SUM";#N/A,#N/A,FALSE,"MECH.";#N/A,#N/A,FALSE,"PIPE";#N/A,#N/A,FALSE,"ELECT";#N/A,#N/A,FALSE,"PR CONT";#N/A,#N/A,FALSE,"STRUCT"}</definedName>
    <definedName name="wrn.ESTIMATE." localSheetId="21" hidden="1">{#N/A,#N/A,FALSE,"SUM";#N/A,#N/A,FALSE,"MECH.";#N/A,#N/A,FALSE,"PIPE";#N/A,#N/A,FALSE,"ELECT";#N/A,#N/A,FALSE,"PR CONT";#N/A,#N/A,FALSE,"STRUCT"}</definedName>
    <definedName name="wrn.ESTIMATE." hidden="1">{#N/A,#N/A,FALSE,"SUM";#N/A,#N/A,FALSE,"MECH.";#N/A,#N/A,FALSE,"PIPE";#N/A,#N/A,FALSE,"ELECT";#N/A,#N/A,FALSE,"PR CONT";#N/A,#N/A,FALSE,"STRUCT"}</definedName>
    <definedName name="wrn.Labor._.Cost._.Workbook." localSheetId="3" hidden="1">{#N/A,#N/A,FALSE,"RATES";#N/A,#N/A,FALSE,"LOADED RATES"}</definedName>
    <definedName name="wrn.Labor._.Cost._.Workbook." localSheetId="8" hidden="1">{#N/A,#N/A,FALSE,"RATES";#N/A,#N/A,FALSE,"LOADED RATES"}</definedName>
    <definedName name="wrn.Labor._.Cost._.Workbook." localSheetId="19" hidden="1">{#N/A,#N/A,FALSE,"RATES";#N/A,#N/A,FALSE,"LOADED RATES"}</definedName>
    <definedName name="wrn.Labor._.Cost._.Workbook." localSheetId="21" hidden="1">{#N/A,#N/A,FALSE,"RATES";#N/A,#N/A,FALSE,"LOADED RATES"}</definedName>
    <definedName name="wrn.Labor._.Cost._.Workbook." hidden="1">{#N/A,#N/A,FALSE,"RATES";#N/A,#N/A,FALSE,"LOADED RATES"}</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49" l="1"/>
  <c r="K17" i="49"/>
  <c r="K16" i="49"/>
  <c r="K15" i="49"/>
  <c r="K14" i="49"/>
  <c r="K12" i="49"/>
  <c r="I24" i="49"/>
  <c r="I28" i="49"/>
  <c r="I26" i="49"/>
  <c r="I27" i="49"/>
  <c r="I25" i="49"/>
  <c r="O12" i="73"/>
  <c r="N12" i="73"/>
  <c r="M19" i="73"/>
  <c r="H28" i="49"/>
  <c r="Q37" i="35"/>
  <c r="Q36" i="35"/>
  <c r="Q35" i="35"/>
  <c r="G10" i="66"/>
  <c r="G12" i="66"/>
  <c r="G11" i="66"/>
  <c r="H4" i="12"/>
  <c r="D90" i="4"/>
  <c r="H34" i="66" s="1"/>
  <c r="I34" i="66"/>
  <c r="J34" i="66"/>
  <c r="K34" i="66"/>
  <c r="L34" i="66"/>
  <c r="M34" i="66"/>
  <c r="N34" i="66"/>
  <c r="O34" i="66"/>
  <c r="P34" i="66"/>
  <c r="Q34" i="66"/>
  <c r="R34" i="66"/>
  <c r="S34" i="66"/>
  <c r="T34" i="66"/>
  <c r="U34" i="66"/>
  <c r="V34" i="66"/>
  <c r="W34" i="66"/>
  <c r="X34" i="66"/>
  <c r="Y34" i="66"/>
  <c r="Z34" i="66"/>
  <c r="AA34" i="66"/>
  <c r="AB34" i="66"/>
  <c r="AC34" i="66"/>
  <c r="AD34" i="66"/>
  <c r="AE34" i="66"/>
  <c r="AF34" i="66"/>
  <c r="AG34" i="66"/>
  <c r="AH34" i="66"/>
  <c r="AI34" i="66"/>
  <c r="AJ34" i="66"/>
  <c r="AK34" i="66"/>
  <c r="AL34" i="66"/>
  <c r="AM34" i="66"/>
  <c r="AN34" i="66"/>
  <c r="AO34" i="66"/>
  <c r="AP34" i="66"/>
  <c r="AQ34" i="66"/>
  <c r="AR34" i="66"/>
  <c r="AS34" i="66"/>
  <c r="AT34" i="66"/>
  <c r="H35" i="66"/>
  <c r="I35" i="66"/>
  <c r="J35" i="66"/>
  <c r="K35" i="66"/>
  <c r="L35" i="66"/>
  <c r="M35" i="66"/>
  <c r="N35" i="66"/>
  <c r="O35" i="66"/>
  <c r="P35" i="66"/>
  <c r="Q35" i="66"/>
  <c r="R35" i="66"/>
  <c r="S35" i="66"/>
  <c r="T35" i="66"/>
  <c r="U35" i="66"/>
  <c r="V35" i="66"/>
  <c r="W35" i="66"/>
  <c r="X35" i="66"/>
  <c r="Y35" i="66"/>
  <c r="Z35" i="66"/>
  <c r="AA35" i="66"/>
  <c r="AB35" i="66"/>
  <c r="AC35" i="66"/>
  <c r="AD35" i="66"/>
  <c r="AE35" i="66"/>
  <c r="AF35" i="66"/>
  <c r="AG35" i="66"/>
  <c r="AH35" i="66"/>
  <c r="AI35" i="66"/>
  <c r="AJ35" i="66"/>
  <c r="AK35" i="66"/>
  <c r="AL35" i="66"/>
  <c r="AM35" i="66"/>
  <c r="AN35" i="66"/>
  <c r="AO35" i="66"/>
  <c r="AP35" i="66"/>
  <c r="AQ35" i="66"/>
  <c r="AR35" i="66"/>
  <c r="AS35" i="66"/>
  <c r="AT35" i="66"/>
  <c r="G35" i="66"/>
  <c r="G34" i="66"/>
  <c r="G37" i="66" s="1"/>
  <c r="G32" i="66"/>
  <c r="G7" i="66"/>
  <c r="AT32" i="66"/>
  <c r="H32" i="66"/>
  <c r="I32" i="66"/>
  <c r="J32" i="66"/>
  <c r="K32" i="66"/>
  <c r="L32" i="66"/>
  <c r="M32" i="66"/>
  <c r="N32" i="66"/>
  <c r="O32" i="66"/>
  <c r="P32" i="66"/>
  <c r="Q32" i="66"/>
  <c r="R32" i="66"/>
  <c r="S32" i="66"/>
  <c r="T32" i="66"/>
  <c r="U32" i="66"/>
  <c r="V32" i="66"/>
  <c r="W32" i="66"/>
  <c r="X32" i="66"/>
  <c r="Y32" i="66"/>
  <c r="Z32" i="66"/>
  <c r="AA32" i="66"/>
  <c r="AB32" i="66"/>
  <c r="AC32" i="66"/>
  <c r="AD32" i="66"/>
  <c r="AE32" i="66"/>
  <c r="AF32" i="66"/>
  <c r="AG32" i="66"/>
  <c r="AH32" i="66"/>
  <c r="AI32" i="66"/>
  <c r="AJ32" i="66"/>
  <c r="AK32" i="66"/>
  <c r="AL32" i="66"/>
  <c r="AM32" i="66"/>
  <c r="AN32" i="66"/>
  <c r="AO32" i="66"/>
  <c r="AP32" i="66"/>
  <c r="AQ32" i="66"/>
  <c r="AR32" i="66"/>
  <c r="AS32" i="66"/>
  <c r="D50" i="4"/>
  <c r="D22" i="4"/>
  <c r="I12" i="49"/>
  <c r="I14" i="49"/>
  <c r="F59" i="69"/>
  <c r="G17" i="23"/>
  <c r="G18" i="23"/>
  <c r="G19" i="23"/>
  <c r="G20" i="23"/>
  <c r="G21" i="23"/>
  <c r="H17" i="23"/>
  <c r="I17" i="23"/>
  <c r="Q17" i="23"/>
  <c r="R17" i="23"/>
  <c r="S17" i="23"/>
  <c r="T17" i="23"/>
  <c r="U17" i="23"/>
  <c r="V17" i="23"/>
  <c r="W17" i="23"/>
  <c r="X17" i="23"/>
  <c r="Y17" i="23"/>
  <c r="Z17" i="23"/>
  <c r="AA17" i="23"/>
  <c r="AB17" i="23"/>
  <c r="AC17" i="23"/>
  <c r="AD17" i="23"/>
  <c r="AE17" i="23"/>
  <c r="AF17" i="23"/>
  <c r="AG17" i="23"/>
  <c r="AH17" i="23"/>
  <c r="AI17" i="23"/>
  <c r="AJ17" i="23"/>
  <c r="AK17" i="23"/>
  <c r="AL17" i="23"/>
  <c r="AM17" i="23"/>
  <c r="AN17" i="23"/>
  <c r="AO17" i="23"/>
  <c r="AP17" i="23"/>
  <c r="AQ17" i="23"/>
  <c r="AR17" i="23"/>
  <c r="AS17" i="23"/>
  <c r="AT17" i="23"/>
  <c r="AU17" i="23"/>
  <c r="AV17" i="23"/>
  <c r="H18" i="23"/>
  <c r="I18" i="23"/>
  <c r="M18" i="23"/>
  <c r="N18" i="23"/>
  <c r="O18" i="23"/>
  <c r="P18" i="23"/>
  <c r="Q18" i="23"/>
  <c r="R18" i="23"/>
  <c r="S18" i="23"/>
  <c r="T18" i="23"/>
  <c r="U18" i="23"/>
  <c r="V18" i="23"/>
  <c r="W18" i="23"/>
  <c r="X18" i="23"/>
  <c r="Y18" i="23"/>
  <c r="Z18" i="23"/>
  <c r="AA18" i="23"/>
  <c r="AB18" i="23"/>
  <c r="AC18" i="23"/>
  <c r="AD18" i="23"/>
  <c r="AE18" i="23"/>
  <c r="AF18" i="23"/>
  <c r="AG18" i="23"/>
  <c r="AH18" i="23"/>
  <c r="AI18" i="23"/>
  <c r="AJ18" i="23"/>
  <c r="AK18" i="23"/>
  <c r="AL18" i="23"/>
  <c r="AM18" i="23"/>
  <c r="AN18" i="23"/>
  <c r="AO18" i="23"/>
  <c r="AP18" i="23"/>
  <c r="AQ18" i="23"/>
  <c r="AR18" i="23"/>
  <c r="AS18" i="23"/>
  <c r="AT18" i="23"/>
  <c r="AU18" i="23"/>
  <c r="AV18" i="23"/>
  <c r="H19" i="23"/>
  <c r="I19" i="23"/>
  <c r="N19" i="23"/>
  <c r="O19" i="23"/>
  <c r="P19" i="23"/>
  <c r="Q19" i="23"/>
  <c r="R19" i="23"/>
  <c r="S19" i="23"/>
  <c r="T19" i="23"/>
  <c r="U19" i="23"/>
  <c r="V19" i="23"/>
  <c r="W19" i="23"/>
  <c r="X19" i="23"/>
  <c r="Y19" i="23"/>
  <c r="Z19" i="23"/>
  <c r="AA19" i="23"/>
  <c r="AB19" i="23"/>
  <c r="AC19" i="23"/>
  <c r="AD19" i="23"/>
  <c r="AE19" i="23"/>
  <c r="AF19" i="23"/>
  <c r="AG19" i="23"/>
  <c r="AH19" i="23"/>
  <c r="AI19" i="23"/>
  <c r="AJ19" i="23"/>
  <c r="AK19" i="23"/>
  <c r="AL19" i="23"/>
  <c r="AM19" i="23"/>
  <c r="AN19" i="23"/>
  <c r="AO19" i="23"/>
  <c r="AP19" i="23"/>
  <c r="AQ19" i="23"/>
  <c r="AR19" i="23"/>
  <c r="AS19" i="23"/>
  <c r="AT19" i="23"/>
  <c r="AU19" i="23"/>
  <c r="AV19" i="23"/>
  <c r="H20" i="23"/>
  <c r="I20" i="23"/>
  <c r="O20" i="23"/>
  <c r="P20" i="23"/>
  <c r="Q20" i="23"/>
  <c r="R20" i="23"/>
  <c r="S20" i="23"/>
  <c r="T20" i="23"/>
  <c r="U20" i="23"/>
  <c r="V20" i="23"/>
  <c r="W20" i="23"/>
  <c r="X20" i="23"/>
  <c r="Y20" i="23"/>
  <c r="Z20" i="23"/>
  <c r="AA20" i="23"/>
  <c r="AB20" i="23"/>
  <c r="AC20" i="23"/>
  <c r="AD20" i="23"/>
  <c r="AE20" i="23"/>
  <c r="AF20" i="23"/>
  <c r="AG20" i="23"/>
  <c r="AH20" i="23"/>
  <c r="AI20" i="23"/>
  <c r="AJ20" i="23"/>
  <c r="AK20" i="23"/>
  <c r="AL20" i="23"/>
  <c r="AM20" i="23"/>
  <c r="AN20" i="23"/>
  <c r="AO20" i="23"/>
  <c r="AP20" i="23"/>
  <c r="AQ20" i="23"/>
  <c r="AR20" i="23"/>
  <c r="AS20" i="23"/>
  <c r="AT20" i="23"/>
  <c r="AU20" i="23"/>
  <c r="AV20" i="23"/>
  <c r="H21" i="23"/>
  <c r="I21" i="23"/>
  <c r="J21" i="23"/>
  <c r="K21" i="23"/>
  <c r="Q21" i="23"/>
  <c r="R21" i="23"/>
  <c r="S21" i="23"/>
  <c r="T21" i="23"/>
  <c r="U21" i="23"/>
  <c r="V21" i="23"/>
  <c r="W21" i="23"/>
  <c r="X21" i="23"/>
  <c r="Y21" i="23"/>
  <c r="Z21" i="23"/>
  <c r="AA21" i="23"/>
  <c r="AB21" i="23"/>
  <c r="AC21" i="23"/>
  <c r="AD21" i="23"/>
  <c r="AE21" i="23"/>
  <c r="AF21" i="23"/>
  <c r="AG21" i="23"/>
  <c r="AH21" i="23"/>
  <c r="AI21" i="23"/>
  <c r="AJ21" i="23"/>
  <c r="AK21" i="23"/>
  <c r="AL21" i="23"/>
  <c r="AM21" i="23"/>
  <c r="AN21" i="23"/>
  <c r="AO21" i="23"/>
  <c r="AP21" i="23"/>
  <c r="AQ21" i="23"/>
  <c r="AR21" i="23"/>
  <c r="AS21" i="23"/>
  <c r="AT21" i="23"/>
  <c r="AU21" i="23"/>
  <c r="AV21" i="23"/>
  <c r="H2" i="75"/>
  <c r="M9" i="65"/>
  <c r="D8" i="65" a="1"/>
  <c r="D8" i="65" s="1"/>
  <c r="B8" i="75"/>
  <c r="B4" i="75"/>
  <c r="F52" i="69"/>
  <c r="F43" i="70"/>
  <c r="D114" i="4" l="1"/>
  <c r="F28" i="69"/>
  <c r="J15" i="11"/>
  <c r="B24" i="11"/>
  <c r="D23" i="11"/>
  <c r="D22" i="11"/>
  <c r="D21" i="11"/>
  <c r="D20" i="11"/>
  <c r="D19" i="11"/>
  <c r="D18" i="11"/>
  <c r="D17" i="11"/>
  <c r="D16" i="11"/>
  <c r="H3" i="75"/>
  <c r="D12" i="4"/>
  <c r="B5" i="65" l="1"/>
  <c r="A5" i="65"/>
  <c r="B4" i="65" l="1"/>
  <c r="A4" i="65"/>
  <c r="B2" i="65"/>
  <c r="A3" i="65"/>
  <c r="A2" i="65"/>
  <c r="R9" i="65"/>
  <c r="B1" i="65"/>
  <c r="B18" i="43"/>
  <c r="B15" i="43"/>
  <c r="S9" i="65" l="1"/>
  <c r="B3" i="65" l="1"/>
  <c r="V9" i="65" s="1"/>
  <c r="CX9" i="62"/>
  <c r="AT28" i="24"/>
  <c r="AT23" i="24"/>
  <c r="AT24" i="24"/>
  <c r="G16" i="67"/>
  <c r="B9" i="75"/>
  <c r="I6" i="75"/>
  <c r="H6" i="75"/>
  <c r="H43" i="75" s="1"/>
  <c r="H44" i="75" s="1"/>
  <c r="H45" i="75" s="1"/>
  <c r="H46" i="75" s="1"/>
  <c r="H47" i="75" s="1"/>
  <c r="H48" i="75" s="1"/>
  <c r="H49" i="75" s="1"/>
  <c r="H50" i="75" s="1"/>
  <c r="H51" i="75" s="1"/>
  <c r="H52" i="75" s="1"/>
  <c r="H53" i="75" s="1"/>
  <c r="G6" i="75"/>
  <c r="G43" i="75" s="1"/>
  <c r="G44" i="75" s="1"/>
  <c r="G45" i="75" s="1"/>
  <c r="G46" i="75" s="1"/>
  <c r="G47" i="75" s="1"/>
  <c r="G48" i="75" s="1"/>
  <c r="G49" i="75" s="1"/>
  <c r="G50" i="75" s="1"/>
  <c r="G51" i="75" s="1"/>
  <c r="G52" i="75" s="1"/>
  <c r="G53" i="75" s="1"/>
  <c r="F6" i="75"/>
  <c r="F23" i="75" s="1"/>
  <c r="E6" i="75"/>
  <c r="E43" i="75" s="1"/>
  <c r="E44" i="75" s="1"/>
  <c r="E45" i="75" s="1"/>
  <c r="E46" i="75" s="1"/>
  <c r="E47" i="75" s="1"/>
  <c r="E48" i="75" s="1"/>
  <c r="E49" i="75" s="1"/>
  <c r="E50" i="75" s="1"/>
  <c r="E51" i="75" s="1"/>
  <c r="E52" i="75" s="1"/>
  <c r="E53" i="75" s="1"/>
  <c r="D6" i="75"/>
  <c r="D23" i="75" s="1"/>
  <c r="C6" i="75"/>
  <c r="B10" i="75" l="1"/>
  <c r="B11" i="75" s="1"/>
  <c r="D8" i="75"/>
  <c r="D7" i="75" s="1"/>
  <c r="D33" i="75"/>
  <c r="C23" i="75"/>
  <c r="C8" i="75"/>
  <c r="C7" i="75" s="1"/>
  <c r="F8" i="75"/>
  <c r="F7" i="75" s="1"/>
  <c r="C33" i="75"/>
  <c r="F33" i="75"/>
  <c r="C43" i="75"/>
  <c r="C44" i="75" s="1"/>
  <c r="C45" i="75" s="1"/>
  <c r="C46" i="75" s="1"/>
  <c r="C47" i="75" s="1"/>
  <c r="C48" i="75" s="1"/>
  <c r="C49" i="75" s="1"/>
  <c r="C50" i="75" s="1"/>
  <c r="C51" i="75" s="1"/>
  <c r="C52" i="75" s="1"/>
  <c r="C53" i="75" s="1"/>
  <c r="D43" i="75"/>
  <c r="D44" i="75" s="1"/>
  <c r="D45" i="75" s="1"/>
  <c r="D46" i="75" s="1"/>
  <c r="D47" i="75" s="1"/>
  <c r="D48" i="75" s="1"/>
  <c r="D49" i="75" s="1"/>
  <c r="D50" i="75" s="1"/>
  <c r="D51" i="75" s="1"/>
  <c r="D52" i="75" s="1"/>
  <c r="D53" i="75" s="1"/>
  <c r="F13" i="75"/>
  <c r="C13" i="75"/>
  <c r="D13" i="75"/>
  <c r="F43" i="75"/>
  <c r="F44" i="75" s="1"/>
  <c r="F45" i="75" s="1"/>
  <c r="F46" i="75" s="1"/>
  <c r="F47" i="75" s="1"/>
  <c r="F48" i="75" s="1"/>
  <c r="F49" i="75" s="1"/>
  <c r="F50" i="75" s="1"/>
  <c r="F51" i="75" s="1"/>
  <c r="F52" i="75" s="1"/>
  <c r="F53" i="75" s="1"/>
  <c r="I43" i="75"/>
  <c r="I44" i="75" s="1"/>
  <c r="I45" i="75" s="1"/>
  <c r="I46" i="75" s="1"/>
  <c r="I47" i="75" s="1"/>
  <c r="I48" i="75" s="1"/>
  <c r="I49" i="75" s="1"/>
  <c r="I50" i="75" s="1"/>
  <c r="I51" i="75" s="1"/>
  <c r="I52" i="75" s="1"/>
  <c r="I53" i="75" s="1"/>
  <c r="I33" i="75"/>
  <c r="I23" i="75"/>
  <c r="I13" i="75"/>
  <c r="I8" i="75"/>
  <c r="E8" i="75"/>
  <c r="E7" i="75" s="1"/>
  <c r="E13" i="75"/>
  <c r="E23" i="75"/>
  <c r="E33" i="75"/>
  <c r="G8" i="75"/>
  <c r="G7" i="75" s="1"/>
  <c r="G13" i="75"/>
  <c r="G23" i="75"/>
  <c r="G33" i="75"/>
  <c r="H8" i="75"/>
  <c r="H7" i="75" s="1"/>
  <c r="H13" i="75"/>
  <c r="H23" i="75"/>
  <c r="H33" i="75"/>
  <c r="B12" i="75" l="1"/>
  <c r="B13" i="75" s="1"/>
  <c r="F9" i="75" s="1"/>
  <c r="F10" i="75" s="1"/>
  <c r="F11" i="75" s="1"/>
  <c r="F12" i="75" s="1"/>
  <c r="I9" i="75"/>
  <c r="I10" i="75" s="1"/>
  <c r="I11" i="75" s="1"/>
  <c r="I12" i="75" s="1"/>
  <c r="I7" i="75"/>
  <c r="D9" i="75"/>
  <c r="D10" i="75" s="1"/>
  <c r="D11" i="75" s="1"/>
  <c r="D12" i="75" s="1"/>
  <c r="C9" i="75"/>
  <c r="C10" i="75" s="1"/>
  <c r="C11" i="75" s="1"/>
  <c r="C12" i="75" s="1"/>
  <c r="E9" i="75"/>
  <c r="E10" i="75" s="1"/>
  <c r="E11" i="75" s="1"/>
  <c r="E12" i="75" s="1"/>
  <c r="G9" i="75"/>
  <c r="G10" i="75" s="1"/>
  <c r="G11" i="75" s="1"/>
  <c r="G12" i="75" s="1"/>
  <c r="H9" i="75"/>
  <c r="H10" i="75" s="1"/>
  <c r="H11" i="75" s="1"/>
  <c r="H12" i="75" s="1"/>
  <c r="H16" i="67"/>
  <c r="E52" i="24"/>
  <c r="D15" i="4"/>
  <c r="G9" i="65" a="1"/>
  <c r="G9" i="65" s="1"/>
  <c r="M19" i="74"/>
  <c r="N19" i="74"/>
  <c r="M20" i="74"/>
  <c r="N20" i="74"/>
  <c r="M21" i="74"/>
  <c r="N21" i="74"/>
  <c r="M22" i="74"/>
  <c r="N22" i="74"/>
  <c r="M23" i="74"/>
  <c r="N23" i="74"/>
  <c r="M24" i="74"/>
  <c r="N24" i="74"/>
  <c r="M25" i="74"/>
  <c r="N25" i="74"/>
  <c r="M26" i="74"/>
  <c r="N26" i="74"/>
  <c r="M27" i="74"/>
  <c r="N27" i="74"/>
  <c r="M28" i="74"/>
  <c r="N28" i="74"/>
  <c r="M29" i="74"/>
  <c r="N29" i="74"/>
  <c r="M30" i="74"/>
  <c r="N30" i="74"/>
  <c r="M31" i="74"/>
  <c r="N31" i="74"/>
  <c r="M32" i="74"/>
  <c r="N32" i="74"/>
  <c r="M33" i="74"/>
  <c r="N33" i="74"/>
  <c r="M34" i="74"/>
  <c r="N34" i="74"/>
  <c r="M35" i="74"/>
  <c r="N35" i="74"/>
  <c r="M36" i="74"/>
  <c r="N36" i="74"/>
  <c r="M37" i="74"/>
  <c r="N37" i="74"/>
  <c r="M38" i="74"/>
  <c r="N38" i="74"/>
  <c r="M39" i="74"/>
  <c r="N39" i="74"/>
  <c r="M40" i="74"/>
  <c r="N40" i="74"/>
  <c r="M41" i="74"/>
  <c r="N41" i="74"/>
  <c r="M42" i="74"/>
  <c r="N42" i="74"/>
  <c r="M43" i="74"/>
  <c r="N43" i="74"/>
  <c r="M44" i="74"/>
  <c r="N44" i="74"/>
  <c r="M45" i="74"/>
  <c r="N45" i="74"/>
  <c r="M46" i="74"/>
  <c r="N46" i="74"/>
  <c r="M47" i="74"/>
  <c r="N47" i="74"/>
  <c r="M48" i="74"/>
  <c r="N48" i="74"/>
  <c r="M49" i="74"/>
  <c r="N49" i="74"/>
  <c r="M50" i="74"/>
  <c r="N50" i="74"/>
  <c r="M51" i="74"/>
  <c r="N51" i="74"/>
  <c r="M52" i="74"/>
  <c r="N52" i="74"/>
  <c r="M53" i="74"/>
  <c r="N53" i="74"/>
  <c r="M54" i="74"/>
  <c r="N54" i="74"/>
  <c r="M55" i="74"/>
  <c r="N55" i="74"/>
  <c r="M56" i="74"/>
  <c r="N56" i="74"/>
  <c r="M57" i="74"/>
  <c r="N57" i="74"/>
  <c r="M58" i="74"/>
  <c r="N58" i="74"/>
  <c r="M59" i="74"/>
  <c r="N59" i="74"/>
  <c r="M60" i="74"/>
  <c r="N60" i="74"/>
  <c r="M61" i="74"/>
  <c r="N61" i="74"/>
  <c r="M62" i="74"/>
  <c r="N62" i="74"/>
  <c r="M63" i="74"/>
  <c r="N63" i="74"/>
  <c r="M64" i="74"/>
  <c r="N64" i="74"/>
  <c r="M65" i="74"/>
  <c r="N65" i="74"/>
  <c r="M66" i="74"/>
  <c r="N66" i="74"/>
  <c r="M67" i="74"/>
  <c r="N67" i="74"/>
  <c r="M68" i="74"/>
  <c r="N68" i="74"/>
  <c r="M69" i="74"/>
  <c r="N69" i="74"/>
  <c r="M70" i="74"/>
  <c r="N70" i="74"/>
  <c r="M71" i="74"/>
  <c r="N71" i="74"/>
  <c r="M72" i="74"/>
  <c r="N72" i="74"/>
  <c r="M73" i="74"/>
  <c r="N73" i="74"/>
  <c r="M74" i="74"/>
  <c r="N74" i="74"/>
  <c r="M75" i="74"/>
  <c r="N75" i="74"/>
  <c r="M76" i="74"/>
  <c r="N76" i="74"/>
  <c r="M77" i="74"/>
  <c r="N77" i="74"/>
  <c r="M78" i="74"/>
  <c r="N78" i="74"/>
  <c r="M79" i="74"/>
  <c r="N79" i="74"/>
  <c r="M80" i="74"/>
  <c r="N80" i="74"/>
  <c r="M81" i="74"/>
  <c r="N81" i="74"/>
  <c r="M82" i="74"/>
  <c r="N82" i="74"/>
  <c r="M83" i="74"/>
  <c r="N83" i="74"/>
  <c r="M84" i="74"/>
  <c r="N84" i="74"/>
  <c r="M85" i="74"/>
  <c r="N85" i="74"/>
  <c r="M86" i="74"/>
  <c r="N86" i="74"/>
  <c r="M87" i="74"/>
  <c r="N87" i="74"/>
  <c r="M88" i="74"/>
  <c r="N88" i="74"/>
  <c r="M89" i="74"/>
  <c r="N89" i="74"/>
  <c r="M90" i="74"/>
  <c r="N90" i="74"/>
  <c r="M91" i="74"/>
  <c r="N91" i="74"/>
  <c r="M92" i="74"/>
  <c r="N92" i="74"/>
  <c r="M93" i="74"/>
  <c r="N93" i="74"/>
  <c r="M94" i="74"/>
  <c r="N94" i="74"/>
  <c r="M95" i="74"/>
  <c r="N95" i="74"/>
  <c r="M96" i="74"/>
  <c r="N96" i="74"/>
  <c r="M97" i="74"/>
  <c r="N97" i="74"/>
  <c r="M98" i="74"/>
  <c r="N98" i="74"/>
  <c r="M99" i="74"/>
  <c r="N99" i="74"/>
  <c r="M100" i="74"/>
  <c r="N100" i="74"/>
  <c r="M101" i="74"/>
  <c r="N101" i="74"/>
  <c r="M102" i="74"/>
  <c r="N102" i="74"/>
  <c r="M103" i="74"/>
  <c r="N103" i="74"/>
  <c r="M104" i="74"/>
  <c r="N104" i="74"/>
  <c r="M105" i="74"/>
  <c r="N105" i="74"/>
  <c r="M106" i="74"/>
  <c r="N106" i="74"/>
  <c r="M107" i="74"/>
  <c r="N107" i="74"/>
  <c r="M108" i="74"/>
  <c r="N108" i="74"/>
  <c r="M109" i="74"/>
  <c r="N109" i="74"/>
  <c r="M110" i="74"/>
  <c r="N110" i="74"/>
  <c r="M111" i="74"/>
  <c r="N111" i="74"/>
  <c r="M112" i="74"/>
  <c r="N112" i="74"/>
  <c r="M113" i="74"/>
  <c r="N113" i="74"/>
  <c r="M114" i="74"/>
  <c r="N114" i="74"/>
  <c r="M115" i="74"/>
  <c r="N115" i="74"/>
  <c r="M116" i="74"/>
  <c r="N116" i="74"/>
  <c r="M117" i="74"/>
  <c r="N117" i="74"/>
  <c r="M118" i="74"/>
  <c r="N118" i="74"/>
  <c r="M119" i="74"/>
  <c r="N119" i="74"/>
  <c r="M120" i="74"/>
  <c r="N120" i="74"/>
  <c r="M121" i="74"/>
  <c r="N121" i="74"/>
  <c r="M122" i="74"/>
  <c r="N122" i="74"/>
  <c r="M123" i="74"/>
  <c r="N123" i="74"/>
  <c r="M124" i="74"/>
  <c r="N124" i="74"/>
  <c r="M125" i="74"/>
  <c r="N125" i="74"/>
  <c r="M126" i="74"/>
  <c r="N126" i="74"/>
  <c r="M127" i="74"/>
  <c r="N127" i="74"/>
  <c r="M128" i="74"/>
  <c r="N128" i="74"/>
  <c r="M129" i="74"/>
  <c r="N129" i="74"/>
  <c r="M130" i="74"/>
  <c r="N130" i="74"/>
  <c r="M131" i="74"/>
  <c r="N131" i="74"/>
  <c r="M132" i="74"/>
  <c r="N132" i="74"/>
  <c r="M133" i="74"/>
  <c r="N133" i="74"/>
  <c r="M134" i="74"/>
  <c r="N134" i="74"/>
  <c r="M135" i="74"/>
  <c r="N135" i="74"/>
  <c r="M136" i="74"/>
  <c r="N136" i="74"/>
  <c r="N19" i="73"/>
  <c r="N20" i="73"/>
  <c r="N21" i="73"/>
  <c r="N22" i="73"/>
  <c r="N23" i="73"/>
  <c r="N24" i="73"/>
  <c r="N25" i="73"/>
  <c r="N26" i="73"/>
  <c r="N27" i="73"/>
  <c r="N28" i="73"/>
  <c r="N29" i="73"/>
  <c r="N30" i="73"/>
  <c r="N31" i="73"/>
  <c r="N32" i="73"/>
  <c r="N33" i="73"/>
  <c r="N34" i="73"/>
  <c r="N35" i="73"/>
  <c r="N36" i="73"/>
  <c r="N37" i="73"/>
  <c r="N38" i="73"/>
  <c r="N39" i="73"/>
  <c r="N40" i="73"/>
  <c r="N41" i="73"/>
  <c r="N42" i="73"/>
  <c r="N43" i="73"/>
  <c r="N44" i="73"/>
  <c r="N45" i="73"/>
  <c r="N46" i="73"/>
  <c r="N47" i="73"/>
  <c r="N48" i="73"/>
  <c r="N49" i="73"/>
  <c r="N50" i="73"/>
  <c r="M20" i="73"/>
  <c r="M21" i="73"/>
  <c r="M22" i="73"/>
  <c r="M23" i="73"/>
  <c r="M24" i="73"/>
  <c r="M25" i="73"/>
  <c r="M26" i="73"/>
  <c r="M27" i="73"/>
  <c r="M28" i="73"/>
  <c r="M29" i="73"/>
  <c r="M30" i="73"/>
  <c r="M31" i="73"/>
  <c r="M32" i="73"/>
  <c r="M33" i="73"/>
  <c r="M34" i="73"/>
  <c r="M35" i="73"/>
  <c r="M36" i="73"/>
  <c r="M37" i="73"/>
  <c r="M38" i="73"/>
  <c r="M39" i="73"/>
  <c r="M40" i="73"/>
  <c r="M41" i="73"/>
  <c r="M42" i="73"/>
  <c r="M43" i="73"/>
  <c r="M44" i="73"/>
  <c r="M45" i="73"/>
  <c r="M46" i="73"/>
  <c r="M47" i="73"/>
  <c r="M48" i="73"/>
  <c r="M49" i="73"/>
  <c r="M50" i="73"/>
  <c r="U7" i="65"/>
  <c r="D7" i="65" a="1"/>
  <c r="D7" i="65" s="1"/>
  <c r="J7" i="65" s="1"/>
  <c r="D9" i="65" a="1"/>
  <c r="D9" i="65" s="1"/>
  <c r="G8" i="65" a="1"/>
  <c r="G8" i="65" s="1"/>
  <c r="G7" i="65" a="1"/>
  <c r="G7" i="65" s="1"/>
  <c r="F9" i="65" a="1"/>
  <c r="F9" i="65" s="1"/>
  <c r="K9" i="65" s="1"/>
  <c r="F8" i="65" a="1"/>
  <c r="F8" i="65" s="1"/>
  <c r="K8" i="65" s="1"/>
  <c r="F7" i="65" a="1"/>
  <c r="F7" i="65" s="1"/>
  <c r="K7" i="65" s="1"/>
  <c r="E7" i="65" a="1"/>
  <c r="E7" i="65" s="1"/>
  <c r="E9" i="65" a="1"/>
  <c r="E9" i="65" s="1"/>
  <c r="E8" i="65" a="1"/>
  <c r="E8" i="65" s="1"/>
  <c r="I5" i="25"/>
  <c r="AT25" i="24"/>
  <c r="AT21" i="24"/>
  <c r="AT17" i="24"/>
  <c r="AT18" i="24"/>
  <c r="AT19" i="24"/>
  <c r="G10" i="6"/>
  <c r="B25" i="11"/>
  <c r="B22" i="11"/>
  <c r="B23" i="11"/>
  <c r="B21" i="11"/>
  <c r="B20" i="11"/>
  <c r="B19" i="11"/>
  <c r="B18" i="11"/>
  <c r="B17" i="11"/>
  <c r="B16" i="11"/>
  <c r="B15" i="11"/>
  <c r="H7" i="12"/>
  <c r="H6" i="12"/>
  <c r="H5" i="12"/>
  <c r="CX10" i="62"/>
  <c r="CX8" i="62"/>
  <c r="H9" i="65" l="1"/>
  <c r="B14" i="75"/>
  <c r="Q8" i="65"/>
  <c r="J8" i="65"/>
  <c r="P8" i="65" s="1"/>
  <c r="J9" i="65"/>
  <c r="Q9" i="65"/>
  <c r="Q7" i="65"/>
  <c r="P7" i="65"/>
  <c r="V7" i="65"/>
  <c r="B15" i="75" l="1"/>
  <c r="B16" i="75" s="1"/>
  <c r="B17" i="75" s="1"/>
  <c r="B18" i="75" s="1"/>
  <c r="B19" i="75" s="1"/>
  <c r="B20" i="75" s="1"/>
  <c r="B21" i="75" s="1"/>
  <c r="B22" i="75" s="1"/>
  <c r="B23" i="75" s="1"/>
  <c r="P9" i="65"/>
  <c r="Z7" i="65"/>
  <c r="Y7" i="65"/>
  <c r="F14" i="75" l="1"/>
  <c r="F15" i="75" s="1"/>
  <c r="F16" i="75" s="1"/>
  <c r="F17" i="75" s="1"/>
  <c r="F18" i="75" s="1"/>
  <c r="F19" i="75" s="1"/>
  <c r="F20" i="75" s="1"/>
  <c r="F21" i="75" s="1"/>
  <c r="F22" i="75" s="1"/>
  <c r="B24" i="75"/>
  <c r="B25" i="75" s="1"/>
  <c r="B26" i="75" s="1"/>
  <c r="B27" i="75" s="1"/>
  <c r="B28" i="75" s="1"/>
  <c r="B29" i="75" s="1"/>
  <c r="B30" i="75" s="1"/>
  <c r="B31" i="75" s="1"/>
  <c r="B32" i="75" s="1"/>
  <c r="B33" i="75" s="1"/>
  <c r="H14" i="75"/>
  <c r="H15" i="75" s="1"/>
  <c r="H16" i="75" s="1"/>
  <c r="H17" i="75" s="1"/>
  <c r="H18" i="75" s="1"/>
  <c r="H19" i="75" s="1"/>
  <c r="H20" i="75" s="1"/>
  <c r="H21" i="75" s="1"/>
  <c r="H22" i="75" s="1"/>
  <c r="C14" i="75"/>
  <c r="C15" i="75" s="1"/>
  <c r="C16" i="75" s="1"/>
  <c r="C17" i="75" s="1"/>
  <c r="C18" i="75" s="1"/>
  <c r="C19" i="75" s="1"/>
  <c r="C20" i="75" s="1"/>
  <c r="C21" i="75" s="1"/>
  <c r="C22" i="75" s="1"/>
  <c r="I14" i="75"/>
  <c r="I15" i="75" s="1"/>
  <c r="I16" i="75" s="1"/>
  <c r="I17" i="75" s="1"/>
  <c r="I18" i="75" s="1"/>
  <c r="I19" i="75" s="1"/>
  <c r="I20" i="75" s="1"/>
  <c r="I21" i="75" s="1"/>
  <c r="I22" i="75" s="1"/>
  <c r="D14" i="75"/>
  <c r="D15" i="75" s="1"/>
  <c r="D16" i="75" s="1"/>
  <c r="D17" i="75" s="1"/>
  <c r="D18" i="75" s="1"/>
  <c r="D19" i="75" s="1"/>
  <c r="D20" i="75" s="1"/>
  <c r="D21" i="75" s="1"/>
  <c r="D22" i="75" s="1"/>
  <c r="E14" i="75"/>
  <c r="E15" i="75" s="1"/>
  <c r="E16" i="75" s="1"/>
  <c r="E17" i="75" s="1"/>
  <c r="E18" i="75" s="1"/>
  <c r="E19" i="75" s="1"/>
  <c r="E20" i="75" s="1"/>
  <c r="E21" i="75" s="1"/>
  <c r="E22" i="75" s="1"/>
  <c r="G14" i="75"/>
  <c r="G15" i="75" s="1"/>
  <c r="G16" i="75" s="1"/>
  <c r="G17" i="75" s="1"/>
  <c r="G18" i="75" s="1"/>
  <c r="G19" i="75" s="1"/>
  <c r="G20" i="75" s="1"/>
  <c r="G21" i="75" s="1"/>
  <c r="G22" i="75" s="1"/>
  <c r="W9" i="65"/>
  <c r="X9" i="65"/>
  <c r="Y9" i="65"/>
  <c r="Z9" i="65"/>
  <c r="H17" i="49"/>
  <c r="D10" i="4" s="1"/>
  <c r="D11" i="4" s="1"/>
  <c r="D13" i="4" s="1"/>
  <c r="G17" i="49"/>
  <c r="D9" i="4" s="1"/>
  <c r="B23" i="49"/>
  <c r="B15" i="49"/>
  <c r="J16" i="49"/>
  <c r="J15" i="49"/>
  <c r="J14" i="49"/>
  <c r="J13" i="49"/>
  <c r="K18" i="23" l="1"/>
  <c r="B34" i="75"/>
  <c r="B35" i="75" s="1"/>
  <c r="B36" i="75" s="1"/>
  <c r="B37" i="75" s="1"/>
  <c r="B38" i="75" s="1"/>
  <c r="B39" i="75" s="1"/>
  <c r="B40" i="75" s="1"/>
  <c r="B41" i="75" s="1"/>
  <c r="B42" i="75" s="1"/>
  <c r="B43" i="75" s="1"/>
  <c r="E24" i="75"/>
  <c r="E25" i="75" s="1"/>
  <c r="E26" i="75" s="1"/>
  <c r="E27" i="75" s="1"/>
  <c r="E28" i="75" s="1"/>
  <c r="E29" i="75" s="1"/>
  <c r="E30" i="75" s="1"/>
  <c r="E31" i="75" s="1"/>
  <c r="E32" i="75" s="1"/>
  <c r="F24" i="75"/>
  <c r="F25" i="75" s="1"/>
  <c r="F26" i="75" s="1"/>
  <c r="F27" i="75" s="1"/>
  <c r="F28" i="75" s="1"/>
  <c r="F29" i="75" s="1"/>
  <c r="F30" i="75" s="1"/>
  <c r="F31" i="75" s="1"/>
  <c r="F32" i="75" s="1"/>
  <c r="G24" i="75"/>
  <c r="G25" i="75" s="1"/>
  <c r="G26" i="75" s="1"/>
  <c r="G27" i="75" s="1"/>
  <c r="G28" i="75" s="1"/>
  <c r="G29" i="75" s="1"/>
  <c r="G30" i="75" s="1"/>
  <c r="G31" i="75" s="1"/>
  <c r="G32" i="75" s="1"/>
  <c r="C24" i="75"/>
  <c r="C25" i="75" s="1"/>
  <c r="C26" i="75" s="1"/>
  <c r="C27" i="75" s="1"/>
  <c r="C28" i="75" s="1"/>
  <c r="C29" i="75" s="1"/>
  <c r="C30" i="75" s="1"/>
  <c r="C31" i="75" s="1"/>
  <c r="C32" i="75" s="1"/>
  <c r="I24" i="75"/>
  <c r="I25" i="75" s="1"/>
  <c r="I26" i="75" s="1"/>
  <c r="I27" i="75" s="1"/>
  <c r="I28" i="75" s="1"/>
  <c r="I29" i="75" s="1"/>
  <c r="I30" i="75" s="1"/>
  <c r="I31" i="75" s="1"/>
  <c r="I32" i="75" s="1"/>
  <c r="D24" i="75"/>
  <c r="D25" i="75" s="1"/>
  <c r="D26" i="75" s="1"/>
  <c r="D27" i="75" s="1"/>
  <c r="D28" i="75" s="1"/>
  <c r="D29" i="75" s="1"/>
  <c r="D30" i="75" s="1"/>
  <c r="D31" i="75" s="1"/>
  <c r="D32" i="75" s="1"/>
  <c r="H24" i="75"/>
  <c r="H25" i="75" s="1"/>
  <c r="H26" i="75" s="1"/>
  <c r="H27" i="75" s="1"/>
  <c r="H28" i="75" s="1"/>
  <c r="H29" i="75" s="1"/>
  <c r="H30" i="75" s="1"/>
  <c r="H31" i="75" s="1"/>
  <c r="H32" i="75" s="1"/>
  <c r="B25" i="49"/>
  <c r="B44" i="75" l="1"/>
  <c r="B45" i="75" s="1"/>
  <c r="B46" i="75" s="1"/>
  <c r="B47" i="75" s="1"/>
  <c r="B48" i="75" s="1"/>
  <c r="B49" i="75" s="1"/>
  <c r="B50" i="75" s="1"/>
  <c r="B51" i="75" s="1"/>
  <c r="B52" i="75" s="1"/>
  <c r="B53" i="75" s="1"/>
  <c r="F34" i="75"/>
  <c r="F35" i="75" s="1"/>
  <c r="F36" i="75" s="1"/>
  <c r="F37" i="75" s="1"/>
  <c r="F38" i="75" s="1"/>
  <c r="F39" i="75" s="1"/>
  <c r="F40" i="75" s="1"/>
  <c r="F41" i="75" s="1"/>
  <c r="F42" i="75" s="1"/>
  <c r="E34" i="75"/>
  <c r="E35" i="75" s="1"/>
  <c r="E36" i="75" s="1"/>
  <c r="E37" i="75" s="1"/>
  <c r="E38" i="75" s="1"/>
  <c r="E39" i="75" s="1"/>
  <c r="E40" i="75" s="1"/>
  <c r="E41" i="75" s="1"/>
  <c r="E42" i="75" s="1"/>
  <c r="H34" i="75"/>
  <c r="H35" i="75" s="1"/>
  <c r="H36" i="75" s="1"/>
  <c r="H37" i="75" s="1"/>
  <c r="H38" i="75" s="1"/>
  <c r="H39" i="75" s="1"/>
  <c r="H40" i="75" s="1"/>
  <c r="H41" i="75" s="1"/>
  <c r="H42" i="75" s="1"/>
  <c r="G34" i="75"/>
  <c r="G35" i="75" s="1"/>
  <c r="G36" i="75" s="1"/>
  <c r="G37" i="75" s="1"/>
  <c r="G38" i="75" s="1"/>
  <c r="G39" i="75" s="1"/>
  <c r="G40" i="75" s="1"/>
  <c r="G41" i="75" s="1"/>
  <c r="G42" i="75" s="1"/>
  <c r="I34" i="75"/>
  <c r="I35" i="75" s="1"/>
  <c r="I36" i="75" s="1"/>
  <c r="I37" i="75" s="1"/>
  <c r="I38" i="75" s="1"/>
  <c r="I39" i="75" s="1"/>
  <c r="I40" i="75" s="1"/>
  <c r="I41" i="75" s="1"/>
  <c r="I42" i="75" s="1"/>
  <c r="D34" i="75"/>
  <c r="D35" i="75" s="1"/>
  <c r="D36" i="75" s="1"/>
  <c r="D37" i="75" s="1"/>
  <c r="D38" i="75" s="1"/>
  <c r="D39" i="75" s="1"/>
  <c r="D40" i="75" s="1"/>
  <c r="D41" i="75" s="1"/>
  <c r="D42" i="75" s="1"/>
  <c r="C34" i="75"/>
  <c r="C35" i="75" s="1"/>
  <c r="C36" i="75" s="1"/>
  <c r="C37" i="75" s="1"/>
  <c r="C38" i="75" s="1"/>
  <c r="C39" i="75" s="1"/>
  <c r="C40" i="75" s="1"/>
  <c r="C41" i="75" s="1"/>
  <c r="C42" i="75" s="1"/>
  <c r="G17" i="67"/>
  <c r="D5" i="4"/>
  <c r="H17" i="67" s="1"/>
  <c r="H6" i="67"/>
  <c r="G6" i="67"/>
  <c r="I9" i="65" l="1"/>
  <c r="F6" i="70"/>
  <c r="F7" i="70"/>
  <c r="F8" i="70"/>
  <c r="F10" i="70" s="1"/>
  <c r="F9" i="70"/>
  <c r="F11" i="70"/>
  <c r="F12" i="70"/>
  <c r="F13" i="70"/>
  <c r="F14" i="70"/>
  <c r="F15" i="70"/>
  <c r="F16" i="70"/>
  <c r="F18" i="70"/>
  <c r="F19" i="70"/>
  <c r="F20" i="70"/>
  <c r="F21" i="70"/>
  <c r="F22" i="70"/>
  <c r="F23" i="70"/>
  <c r="F24" i="70"/>
  <c r="H15" i="11" s="1"/>
  <c r="F31" i="70"/>
  <c r="F32" i="70"/>
  <c r="H17" i="11" s="1"/>
  <c r="F33" i="70"/>
  <c r="H18" i="11" s="1"/>
  <c r="F34" i="70"/>
  <c r="F35" i="70"/>
  <c r="F36" i="70"/>
  <c r="F37" i="70"/>
  <c r="H19" i="11" s="1"/>
  <c r="F38" i="70"/>
  <c r="F41" i="70"/>
  <c r="F42" i="70"/>
  <c r="F50" i="69"/>
  <c r="F51" i="69" s="1"/>
  <c r="F47" i="69"/>
  <c r="H25" i="11" s="1"/>
  <c r="F46" i="69"/>
  <c r="H24" i="11" s="1"/>
  <c r="F45" i="69"/>
  <c r="F44" i="69"/>
  <c r="F43" i="69"/>
  <c r="F42" i="69"/>
  <c r="H23" i="11" s="1"/>
  <c r="F41" i="69"/>
  <c r="H22" i="11" s="1"/>
  <c r="F40" i="69"/>
  <c r="H21" i="11" s="1"/>
  <c r="F33" i="69"/>
  <c r="H20" i="11" s="1"/>
  <c r="I20" i="11" s="1"/>
  <c r="F32" i="69"/>
  <c r="F31" i="69"/>
  <c r="F30" i="69"/>
  <c r="F29" i="69"/>
  <c r="F34" i="69" s="1"/>
  <c r="F27" i="69"/>
  <c r="F26" i="69"/>
  <c r="F25" i="69"/>
  <c r="F24" i="69"/>
  <c r="F23" i="69"/>
  <c r="F22" i="69"/>
  <c r="F21" i="69"/>
  <c r="F20" i="69"/>
  <c r="F19" i="69"/>
  <c r="F18" i="69"/>
  <c r="F16" i="69"/>
  <c r="F15" i="69"/>
  <c r="F14" i="69"/>
  <c r="F13" i="69"/>
  <c r="F12" i="69"/>
  <c r="F11" i="69"/>
  <c r="F9" i="69"/>
  <c r="F8" i="69"/>
  <c r="F7" i="69"/>
  <c r="F6" i="69"/>
  <c r="F39" i="70" l="1"/>
  <c r="H16" i="11"/>
  <c r="F25" i="70"/>
  <c r="H26" i="11"/>
  <c r="D36" i="4"/>
  <c r="F48" i="69"/>
  <c r="F10" i="69"/>
  <c r="F44" i="70" l="1"/>
  <c r="F45" i="70" s="1"/>
  <c r="F49" i="70" s="1"/>
  <c r="F53" i="69"/>
  <c r="F54" i="69" s="1"/>
  <c r="F46" i="70" l="1"/>
  <c r="F48" i="70"/>
  <c r="F47" i="70"/>
  <c r="F58" i="69"/>
  <c r="F56" i="69"/>
  <c r="F55" i="69"/>
  <c r="F57" i="69"/>
  <c r="F50" i="70" l="1"/>
  <c r="D31" i="4"/>
  <c r="D35" i="4"/>
  <c r="D42" i="4" s="1"/>
  <c r="D39" i="4"/>
  <c r="I7" i="67"/>
  <c r="H7" i="67"/>
  <c r="G7" i="67"/>
  <c r="D37" i="4" l="1"/>
  <c r="D38" i="4" s="1"/>
  <c r="B3" i="49"/>
  <c r="B4" i="49"/>
  <c r="G15" i="67"/>
  <c r="G14" i="67"/>
  <c r="I9" i="67"/>
  <c r="I10" i="67"/>
  <c r="I8" i="67"/>
  <c r="I13" i="67"/>
  <c r="I12" i="67"/>
  <c r="I11" i="67"/>
  <c r="H12" i="67"/>
  <c r="H13" i="67"/>
  <c r="H11" i="67"/>
  <c r="G12" i="67"/>
  <c r="G13" i="67"/>
  <c r="G11" i="67"/>
  <c r="G9" i="67"/>
  <c r="G10" i="67"/>
  <c r="G8" i="67"/>
  <c r="AT37" i="67"/>
  <c r="AS37" i="67"/>
  <c r="AR37" i="67"/>
  <c r="AQ37" i="67"/>
  <c r="AP37" i="67"/>
  <c r="AO37" i="67"/>
  <c r="AN37" i="67"/>
  <c r="AM37" i="67"/>
  <c r="AL37" i="67"/>
  <c r="AK37" i="67"/>
  <c r="AJ37" i="67"/>
  <c r="AI37" i="67"/>
  <c r="AH37" i="67"/>
  <c r="AG37" i="67"/>
  <c r="AF37" i="67"/>
  <c r="AE37" i="67"/>
  <c r="AD37" i="67"/>
  <c r="AC37" i="67"/>
  <c r="AB37" i="67"/>
  <c r="AA37" i="67"/>
  <c r="Z37" i="67"/>
  <c r="Y37" i="67"/>
  <c r="X37" i="67"/>
  <c r="W37" i="67"/>
  <c r="V37" i="67"/>
  <c r="U37" i="67"/>
  <c r="T37" i="67"/>
  <c r="S37" i="67"/>
  <c r="R37" i="67"/>
  <c r="Q37" i="67"/>
  <c r="P37" i="67"/>
  <c r="O37" i="67"/>
  <c r="N37" i="67"/>
  <c r="M37" i="67"/>
  <c r="L37" i="67"/>
  <c r="K37" i="67"/>
  <c r="J37" i="67"/>
  <c r="I37" i="67"/>
  <c r="H37" i="67"/>
  <c r="G37" i="67"/>
  <c r="F37" i="67"/>
  <c r="AT36" i="67"/>
  <c r="AS36" i="67"/>
  <c r="AR36" i="67"/>
  <c r="AQ36" i="67"/>
  <c r="AP36" i="67"/>
  <c r="AO36" i="67"/>
  <c r="AN36" i="67"/>
  <c r="AM36" i="67"/>
  <c r="AL36" i="67"/>
  <c r="AK36" i="67"/>
  <c r="AJ36" i="67"/>
  <c r="AI36" i="67"/>
  <c r="AH36" i="67"/>
  <c r="AG36" i="67"/>
  <c r="AF36" i="67"/>
  <c r="AE36" i="67"/>
  <c r="AD36" i="67"/>
  <c r="AC36" i="67"/>
  <c r="AB36" i="67"/>
  <c r="AA36" i="67"/>
  <c r="Z36" i="67"/>
  <c r="Y36" i="67"/>
  <c r="X36" i="67"/>
  <c r="W36" i="67"/>
  <c r="V36" i="67"/>
  <c r="U36" i="67"/>
  <c r="T36" i="67"/>
  <c r="S36" i="67"/>
  <c r="R36" i="67"/>
  <c r="Q36" i="67"/>
  <c r="P36" i="67"/>
  <c r="O36" i="67"/>
  <c r="N36" i="67"/>
  <c r="M36" i="67"/>
  <c r="L36" i="67"/>
  <c r="K36" i="67"/>
  <c r="J36" i="67"/>
  <c r="I36" i="67"/>
  <c r="H36" i="67"/>
  <c r="G36" i="67"/>
  <c r="F36" i="67"/>
  <c r="D34" i="67"/>
  <c r="C8" i="67"/>
  <c r="C5" i="67"/>
  <c r="G27" i="67" s="1"/>
  <c r="B35" i="66"/>
  <c r="I13" i="66"/>
  <c r="G13" i="66"/>
  <c r="D98" i="4"/>
  <c r="H13" i="66" s="1"/>
  <c r="I11" i="66"/>
  <c r="I12" i="66"/>
  <c r="I10" i="66"/>
  <c r="D103" i="4"/>
  <c r="H11" i="66" s="1"/>
  <c r="B103" i="4"/>
  <c r="I9" i="66"/>
  <c r="I8" i="66"/>
  <c r="H9" i="66"/>
  <c r="W64" i="66" s="1"/>
  <c r="H8" i="66"/>
  <c r="I43" i="66" s="1"/>
  <c r="G9" i="66"/>
  <c r="G8" i="66"/>
  <c r="B44" i="66"/>
  <c r="B43" i="66"/>
  <c r="D92" i="4"/>
  <c r="H6" i="66" s="1"/>
  <c r="I7" i="66"/>
  <c r="I6" i="66"/>
  <c r="H7" i="66"/>
  <c r="F25" i="66"/>
  <c r="D23" i="66"/>
  <c r="C8" i="66"/>
  <c r="C5" i="66"/>
  <c r="G16" i="66" s="1"/>
  <c r="B5" i="49" l="1"/>
  <c r="G45" i="67"/>
  <c r="G55" i="67"/>
  <c r="G50" i="67"/>
  <c r="H27" i="67"/>
  <c r="R38" i="66"/>
  <c r="AB37" i="66"/>
  <c r="AC37" i="66"/>
  <c r="AT37" i="66"/>
  <c r="AS37" i="66"/>
  <c r="P37" i="66"/>
  <c r="AH38" i="66"/>
  <c r="AI37" i="66"/>
  <c r="O37" i="66"/>
  <c r="T37" i="66"/>
  <c r="Q37" i="66"/>
  <c r="AM38" i="66"/>
  <c r="W38" i="66"/>
  <c r="AH37" i="66"/>
  <c r="N37" i="66"/>
  <c r="V38" i="66"/>
  <c r="AG37" i="66"/>
  <c r="M37" i="66"/>
  <c r="U38" i="66"/>
  <c r="V37" i="66"/>
  <c r="S37" i="66"/>
  <c r="R37" i="66"/>
  <c r="L37" i="66"/>
  <c r="T38" i="66"/>
  <c r="AE37" i="66"/>
  <c r="W37" i="66"/>
  <c r="U37" i="66"/>
  <c r="AR37" i="66"/>
  <c r="AM37" i="66"/>
  <c r="AL37" i="66"/>
  <c r="AK37" i="66"/>
  <c r="AJ37" i="66"/>
  <c r="AF37" i="66"/>
  <c r="S38" i="66"/>
  <c r="AD37" i="66"/>
  <c r="AL38" i="66"/>
  <c r="AQ37" i="66"/>
  <c r="AA37" i="66"/>
  <c r="K37" i="66"/>
  <c r="AK38" i="66"/>
  <c r="AP37" i="66"/>
  <c r="Z37" i="66"/>
  <c r="J37" i="66"/>
  <c r="AJ38" i="66"/>
  <c r="AO37" i="66"/>
  <c r="Y37" i="66"/>
  <c r="I37" i="66"/>
  <c r="AI38" i="66"/>
  <c r="AN37" i="66"/>
  <c r="X37" i="66"/>
  <c r="Q38" i="66"/>
  <c r="AF38" i="66"/>
  <c r="AE38" i="66"/>
  <c r="G38" i="66"/>
  <c r="AS38" i="66"/>
  <c r="AC38" i="66"/>
  <c r="M38" i="66"/>
  <c r="AG38" i="66"/>
  <c r="P38" i="66"/>
  <c r="O38" i="66"/>
  <c r="H38" i="66"/>
  <c r="AT38" i="66"/>
  <c r="AD38" i="66"/>
  <c r="N38" i="66"/>
  <c r="AR38" i="66"/>
  <c r="AB38" i="66"/>
  <c r="L38" i="66"/>
  <c r="AQ38" i="66"/>
  <c r="AA38" i="66"/>
  <c r="K38" i="66"/>
  <c r="AP38" i="66"/>
  <c r="Z38" i="66"/>
  <c r="J38" i="66"/>
  <c r="AO38" i="66"/>
  <c r="Y38" i="66"/>
  <c r="I38" i="66"/>
  <c r="AN38" i="66"/>
  <c r="X38" i="66"/>
  <c r="H37" i="66"/>
  <c r="X64" i="66"/>
  <c r="AM43" i="66"/>
  <c r="N43" i="66"/>
  <c r="Y63" i="66"/>
  <c r="AL43" i="66"/>
  <c r="AM64" i="66"/>
  <c r="AK43" i="66"/>
  <c r="AN64" i="66"/>
  <c r="G63" i="66"/>
  <c r="AP64" i="66"/>
  <c r="AH43" i="66"/>
  <c r="AK63" i="66"/>
  <c r="AQ64" i="66"/>
  <c r="AQ44" i="66"/>
  <c r="AL63" i="66"/>
  <c r="AC44" i="66"/>
  <c r="AA44" i="66"/>
  <c r="X43" i="66"/>
  <c r="R63" i="66"/>
  <c r="AO63" i="66"/>
  <c r="Z44" i="66"/>
  <c r="W43" i="66"/>
  <c r="S63" i="66"/>
  <c r="AQ63" i="66"/>
  <c r="W44" i="66"/>
  <c r="Q43" i="66"/>
  <c r="V63" i="66"/>
  <c r="J64" i="66"/>
  <c r="AO64" i="66"/>
  <c r="AT63" i="66"/>
  <c r="AT43" i="66"/>
  <c r="P43" i="66"/>
  <c r="W63" i="66"/>
  <c r="K64" i="66"/>
  <c r="M43" i="66"/>
  <c r="AA63" i="66"/>
  <c r="H43" i="66"/>
  <c r="AD63" i="66"/>
  <c r="AJ43" i="66"/>
  <c r="AF63" i="66"/>
  <c r="G43" i="66"/>
  <c r="AI43" i="66"/>
  <c r="AJ63" i="66"/>
  <c r="AR44" i="66"/>
  <c r="H63" i="66"/>
  <c r="AG43" i="66"/>
  <c r="K63" i="66"/>
  <c r="AR64" i="66"/>
  <c r="AF43" i="66"/>
  <c r="P63" i="66"/>
  <c r="AM63" i="66"/>
  <c r="AS64" i="66"/>
  <c r="AB44" i="66"/>
  <c r="AD43" i="66"/>
  <c r="Q63" i="66"/>
  <c r="AN63" i="66"/>
  <c r="Y44" i="66"/>
  <c r="U43" i="66"/>
  <c r="T63" i="66"/>
  <c r="X44" i="66"/>
  <c r="R43" i="66"/>
  <c r="U63" i="66"/>
  <c r="I64" i="66"/>
  <c r="AN43" i="66"/>
  <c r="O43" i="66"/>
  <c r="X63" i="66"/>
  <c r="M64" i="66"/>
  <c r="P44" i="66"/>
  <c r="V43" i="66"/>
  <c r="I63" i="66"/>
  <c r="AE63" i="66"/>
  <c r="L64" i="66"/>
  <c r="AS43" i="66"/>
  <c r="T43" i="66"/>
  <c r="N63" i="66"/>
  <c r="AG63" i="66"/>
  <c r="U64" i="66"/>
  <c r="AP43" i="66"/>
  <c r="S43" i="66"/>
  <c r="O63" i="66"/>
  <c r="AH63" i="66"/>
  <c r="V64" i="66"/>
  <c r="AI63" i="66"/>
  <c r="Q44" i="66"/>
  <c r="AJ64" i="66"/>
  <c r="T64" i="66"/>
  <c r="H44" i="66"/>
  <c r="AD44" i="66"/>
  <c r="AI64" i="66"/>
  <c r="S64" i="66"/>
  <c r="I44" i="66"/>
  <c r="AE44" i="66"/>
  <c r="J44" i="66"/>
  <c r="AH64" i="66"/>
  <c r="R64" i="66"/>
  <c r="AF44" i="66"/>
  <c r="AG64" i="66"/>
  <c r="Q64" i="66"/>
  <c r="K44" i="66"/>
  <c r="AM44" i="66"/>
  <c r="AF64" i="66"/>
  <c r="P64" i="66"/>
  <c r="L44" i="66"/>
  <c r="AN44" i="66"/>
  <c r="AE64" i="66"/>
  <c r="O64" i="66"/>
  <c r="M44" i="66"/>
  <c r="AO44" i="66"/>
  <c r="AT64" i="66"/>
  <c r="AD64" i="66"/>
  <c r="N64" i="66"/>
  <c r="N44" i="66"/>
  <c r="AP44" i="66"/>
  <c r="Y64" i="66"/>
  <c r="O44" i="66"/>
  <c r="Z64" i="66"/>
  <c r="AA64" i="66"/>
  <c r="AB64" i="66"/>
  <c r="AC64" i="66"/>
  <c r="G44" i="66"/>
  <c r="AT44" i="66"/>
  <c r="G64" i="66"/>
  <c r="AK64" i="66"/>
  <c r="AS44" i="66"/>
  <c r="H64" i="66"/>
  <c r="AL64" i="66"/>
  <c r="AE43" i="66"/>
  <c r="J43" i="66"/>
  <c r="J63" i="66"/>
  <c r="Z63" i="66"/>
  <c r="AP63" i="66"/>
  <c r="AC43" i="66"/>
  <c r="L63" i="66"/>
  <c r="AB63" i="66"/>
  <c r="AR63" i="66"/>
  <c r="Z43" i="66"/>
  <c r="M63" i="66"/>
  <c r="AC63" i="66"/>
  <c r="AS63" i="66"/>
  <c r="AL44" i="66"/>
  <c r="AK44" i="66"/>
  <c r="U44" i="66"/>
  <c r="AR43" i="66"/>
  <c r="AB43" i="66"/>
  <c r="L43" i="66"/>
  <c r="V44" i="66"/>
  <c r="AJ44" i="66"/>
  <c r="T44" i="66"/>
  <c r="AQ43" i="66"/>
  <c r="AA43" i="66"/>
  <c r="K43" i="66"/>
  <c r="AI44" i="66"/>
  <c r="S44" i="66"/>
  <c r="AH44" i="66"/>
  <c r="R44" i="66"/>
  <c r="AO43" i="66"/>
  <c r="Y43" i="66"/>
  <c r="AG44" i="66"/>
  <c r="H16" i="66"/>
  <c r="P17" i="23" l="1"/>
  <c r="H50" i="67"/>
  <c r="H45" i="67"/>
  <c r="H55" i="67"/>
  <c r="H79" i="67"/>
  <c r="H71" i="67"/>
  <c r="G71" i="67" s="1"/>
  <c r="H75" i="67"/>
  <c r="G75" i="67" s="1"/>
  <c r="H57" i="67"/>
  <c r="H52" i="67"/>
  <c r="G52" i="67" s="1"/>
  <c r="H47" i="67"/>
  <c r="I27" i="67"/>
  <c r="I16" i="66"/>
  <c r="M19" i="23" l="1"/>
  <c r="L19" i="23"/>
  <c r="M20" i="23"/>
  <c r="N20" i="23"/>
  <c r="I50" i="67"/>
  <c r="I55" i="67"/>
  <c r="I45" i="67"/>
  <c r="I71" i="67"/>
  <c r="I79" i="67"/>
  <c r="I75" i="67"/>
  <c r="G79" i="67"/>
  <c r="I52" i="67"/>
  <c r="I57" i="67"/>
  <c r="G47" i="67"/>
  <c r="I47" i="67"/>
  <c r="J27" i="67"/>
  <c r="J16" i="66"/>
  <c r="J55" i="67" l="1"/>
  <c r="J45" i="67"/>
  <c r="J50" i="67"/>
  <c r="J71" i="67"/>
  <c r="J79" i="67"/>
  <c r="J75" i="67"/>
  <c r="J52" i="67"/>
  <c r="J57" i="67"/>
  <c r="J47" i="67"/>
  <c r="K27" i="67"/>
  <c r="K16" i="66"/>
  <c r="K50" i="67" l="1"/>
  <c r="K55" i="67"/>
  <c r="K45" i="67"/>
  <c r="K71" i="67"/>
  <c r="K79" i="67"/>
  <c r="K75" i="67"/>
  <c r="K57" i="67"/>
  <c r="K52" i="67"/>
  <c r="K47" i="67"/>
  <c r="L27" i="67"/>
  <c r="L16" i="66"/>
  <c r="L50" i="67" l="1"/>
  <c r="L55" i="67"/>
  <c r="L45" i="67"/>
  <c r="L71" i="67"/>
  <c r="L79" i="67"/>
  <c r="L75" i="67"/>
  <c r="L52" i="67"/>
  <c r="L57" i="67"/>
  <c r="L47" i="67"/>
  <c r="M27" i="67"/>
  <c r="M16" i="66"/>
  <c r="M50" i="67" l="1"/>
  <c r="M55" i="67"/>
  <c r="M45" i="67"/>
  <c r="M79" i="67"/>
  <c r="M75" i="67"/>
  <c r="M71" i="67"/>
  <c r="M52" i="67"/>
  <c r="M57" i="67"/>
  <c r="M47" i="67"/>
  <c r="N27" i="67"/>
  <c r="N16" i="66"/>
  <c r="N55" i="67" l="1"/>
  <c r="N45" i="67"/>
  <c r="N50" i="67"/>
  <c r="N75" i="67"/>
  <c r="N79" i="67"/>
  <c r="N71" i="67"/>
  <c r="N52" i="67"/>
  <c r="N57" i="67"/>
  <c r="N47" i="67"/>
  <c r="O27" i="67"/>
  <c r="O16" i="66"/>
  <c r="O55" i="67" l="1"/>
  <c r="O45" i="67"/>
  <c r="O50" i="67"/>
  <c r="O75" i="67"/>
  <c r="O79" i="67"/>
  <c r="O71" i="67"/>
  <c r="O52" i="67"/>
  <c r="O57" i="67"/>
  <c r="O47" i="67"/>
  <c r="P27" i="67"/>
  <c r="P16" i="66"/>
  <c r="P50" i="67" l="1"/>
  <c r="P55" i="67"/>
  <c r="P45" i="67"/>
  <c r="P75" i="67"/>
  <c r="P79" i="67"/>
  <c r="P71" i="67"/>
  <c r="P57" i="67"/>
  <c r="P52" i="67"/>
  <c r="P47" i="67"/>
  <c r="Q27" i="67"/>
  <c r="Q16" i="66"/>
  <c r="Q55" i="67" l="1"/>
  <c r="Q45" i="67"/>
  <c r="Q50" i="67"/>
  <c r="Q75" i="67"/>
  <c r="Q71" i="67"/>
  <c r="Q79" i="67"/>
  <c r="Q57" i="67"/>
  <c r="Q52" i="67"/>
  <c r="Q47" i="67"/>
  <c r="R27" i="67"/>
  <c r="R16" i="66"/>
  <c r="R45" i="67" l="1"/>
  <c r="R55" i="67"/>
  <c r="R50" i="67"/>
  <c r="R75" i="67"/>
  <c r="R71" i="67"/>
  <c r="R79" i="67"/>
  <c r="R57" i="67"/>
  <c r="R52" i="67"/>
  <c r="R47" i="67"/>
  <c r="S27" i="67"/>
  <c r="S16" i="66"/>
  <c r="S55" i="67" l="1"/>
  <c r="S45" i="67"/>
  <c r="S50" i="67"/>
  <c r="S75" i="67"/>
  <c r="S79" i="67"/>
  <c r="S71" i="67"/>
  <c r="S57" i="67"/>
  <c r="S52" i="67"/>
  <c r="S47" i="67"/>
  <c r="T27" i="67"/>
  <c r="T16" i="66"/>
  <c r="T50" i="67" l="1"/>
  <c r="T55" i="67"/>
  <c r="T45" i="67"/>
  <c r="T75" i="67"/>
  <c r="T71" i="67"/>
  <c r="T79" i="67"/>
  <c r="T57" i="67"/>
  <c r="T52" i="67"/>
  <c r="T47" i="67"/>
  <c r="U27" i="67"/>
  <c r="U16" i="66"/>
  <c r="U55" i="67" l="1"/>
  <c r="U45" i="67"/>
  <c r="U50" i="67"/>
  <c r="U71" i="67"/>
  <c r="U75" i="67"/>
  <c r="U79" i="67"/>
  <c r="U57" i="67"/>
  <c r="U52" i="67"/>
  <c r="U47" i="67"/>
  <c r="V27" i="67"/>
  <c r="V16" i="66"/>
  <c r="V55" i="67" l="1"/>
  <c r="V45" i="67"/>
  <c r="V50" i="67"/>
  <c r="V71" i="67"/>
  <c r="V79" i="67"/>
  <c r="V75" i="67"/>
  <c r="V52" i="67"/>
  <c r="V57" i="67"/>
  <c r="V47" i="67"/>
  <c r="W27" i="67"/>
  <c r="W16" i="66"/>
  <c r="W50" i="67" l="1"/>
  <c r="W55" i="67"/>
  <c r="W45" i="67"/>
  <c r="W71" i="67"/>
  <c r="W79" i="67"/>
  <c r="W75" i="67"/>
  <c r="W57" i="67"/>
  <c r="W52" i="67"/>
  <c r="W47" i="67"/>
  <c r="X27" i="67"/>
  <c r="X16" i="66"/>
  <c r="X50" i="67" l="1"/>
  <c r="X55" i="67"/>
  <c r="X45" i="67"/>
  <c r="X71" i="67"/>
  <c r="X79" i="67"/>
  <c r="X75" i="67"/>
  <c r="X52" i="67"/>
  <c r="X57" i="67"/>
  <c r="X47" i="67"/>
  <c r="Y27" i="67"/>
  <c r="Y16" i="66"/>
  <c r="Y45" i="67" l="1"/>
  <c r="Y50" i="67"/>
  <c r="Y55" i="67"/>
  <c r="Y71" i="67"/>
  <c r="Y79" i="67"/>
  <c r="Y75" i="67"/>
  <c r="Y52" i="67"/>
  <c r="Y57" i="67"/>
  <c r="Y47" i="67"/>
  <c r="Z27" i="67"/>
  <c r="Z16" i="66"/>
  <c r="Z50" i="67" l="1"/>
  <c r="Z55" i="67"/>
  <c r="Z45" i="67"/>
  <c r="Z71" i="67"/>
  <c r="Z79" i="67"/>
  <c r="Z75" i="67"/>
  <c r="Z52" i="67"/>
  <c r="Z57" i="67"/>
  <c r="Z47" i="67"/>
  <c r="AA27" i="67"/>
  <c r="AA16" i="66"/>
  <c r="AA50" i="67" l="1"/>
  <c r="AA45" i="67"/>
  <c r="AA55" i="67"/>
  <c r="AA71" i="67"/>
  <c r="AA79" i="67"/>
  <c r="AA75" i="67"/>
  <c r="AA52" i="67"/>
  <c r="AA57" i="67"/>
  <c r="AA47" i="67"/>
  <c r="AB27" i="67"/>
  <c r="AB16" i="66"/>
  <c r="AB55" i="67" l="1"/>
  <c r="AB50" i="67"/>
  <c r="AB45" i="67"/>
  <c r="AB71" i="67"/>
  <c r="AB79" i="67"/>
  <c r="AB75" i="67"/>
  <c r="AB57" i="67"/>
  <c r="AB52" i="67"/>
  <c r="AB47" i="67"/>
  <c r="AC27" i="67"/>
  <c r="AC16" i="66"/>
  <c r="AC50" i="67" l="1"/>
  <c r="AC55" i="67"/>
  <c r="AC45" i="67"/>
  <c r="AC79" i="67"/>
  <c r="AC75" i="67"/>
  <c r="AC71" i="67"/>
  <c r="AC57" i="67"/>
  <c r="AC52" i="67"/>
  <c r="AC47" i="67"/>
  <c r="AD27" i="67"/>
  <c r="AD16" i="66"/>
  <c r="AD55" i="67" l="1"/>
  <c r="AD45" i="67"/>
  <c r="AD50" i="67"/>
  <c r="AD75" i="67"/>
  <c r="AD71" i="67"/>
  <c r="AD79" i="67"/>
  <c r="AD57" i="67"/>
  <c r="AD52" i="67"/>
  <c r="AD47" i="67"/>
  <c r="AE27" i="67"/>
  <c r="AE16" i="66"/>
  <c r="AE50" i="67" l="1"/>
  <c r="AE55" i="67"/>
  <c r="AE45" i="67"/>
  <c r="AE75" i="67"/>
  <c r="AE71" i="67"/>
  <c r="AE79" i="67"/>
  <c r="AE52" i="67"/>
  <c r="AE57" i="67"/>
  <c r="AE47" i="67"/>
  <c r="AF27" i="67"/>
  <c r="AF16" i="66"/>
  <c r="AF55" i="67" l="1"/>
  <c r="AF45" i="67"/>
  <c r="AF50" i="67"/>
  <c r="AF75" i="67"/>
  <c r="AF79" i="67"/>
  <c r="AF71" i="67"/>
  <c r="AF52" i="67"/>
  <c r="AF57" i="67"/>
  <c r="AF47" i="67"/>
  <c r="AG27" i="67"/>
  <c r="AG16" i="66"/>
  <c r="AG55" i="67" l="1"/>
  <c r="AG45" i="67"/>
  <c r="AG50" i="67"/>
  <c r="AG75" i="67"/>
  <c r="AG79" i="67"/>
  <c r="AG71" i="67"/>
  <c r="AG57" i="67"/>
  <c r="AG52" i="67"/>
  <c r="AG47" i="67"/>
  <c r="AH27" i="67"/>
  <c r="AH16" i="66"/>
  <c r="AH50" i="67" l="1"/>
  <c r="AH45" i="67"/>
  <c r="AH55" i="67"/>
  <c r="AH75" i="67"/>
  <c r="AH79" i="67"/>
  <c r="AH71" i="67"/>
  <c r="AH57" i="67"/>
  <c r="AH52" i="67"/>
  <c r="AH47" i="67"/>
  <c r="AI27" i="67"/>
  <c r="AI16" i="66"/>
  <c r="AI50" i="67" l="1"/>
  <c r="AI55" i="67"/>
  <c r="AI45" i="67"/>
  <c r="AI75" i="67"/>
  <c r="AI79" i="67"/>
  <c r="AI71" i="67"/>
  <c r="AI57" i="67"/>
  <c r="AI52" i="67"/>
  <c r="AI47" i="67"/>
  <c r="AJ27" i="67"/>
  <c r="AJ16" i="66"/>
  <c r="AJ50" i="67" l="1"/>
  <c r="AJ45" i="67"/>
  <c r="AJ55" i="67"/>
  <c r="AJ75" i="67"/>
  <c r="AJ79" i="67"/>
  <c r="AJ71" i="67"/>
  <c r="AJ52" i="67"/>
  <c r="AJ57" i="67"/>
  <c r="AJ47" i="67"/>
  <c r="AK27" i="67"/>
  <c r="AK16" i="66"/>
  <c r="AK50" i="67" l="1"/>
  <c r="AK55" i="67"/>
  <c r="AK45" i="67"/>
  <c r="AK71" i="67"/>
  <c r="AK79" i="67"/>
  <c r="AK75" i="67"/>
  <c r="AK57" i="67"/>
  <c r="AK52" i="67"/>
  <c r="AK47" i="67"/>
  <c r="AL27" i="67"/>
  <c r="AL16" i="66"/>
  <c r="AL45" i="67" l="1"/>
  <c r="AL55" i="67"/>
  <c r="AL50" i="67"/>
  <c r="AL71" i="67"/>
  <c r="AL79" i="67"/>
  <c r="AL75" i="67"/>
  <c r="AL57" i="67"/>
  <c r="AL52" i="67"/>
  <c r="G57" i="67"/>
  <c r="AL47" i="67"/>
  <c r="AM27" i="67"/>
  <c r="AM16" i="66"/>
  <c r="AM50" i="67" l="1"/>
  <c r="AM45" i="67"/>
  <c r="AM55" i="67"/>
  <c r="AM79" i="67"/>
  <c r="AM71" i="67"/>
  <c r="AM75" i="67"/>
  <c r="AM52" i="67"/>
  <c r="AM57" i="67"/>
  <c r="AM47" i="67"/>
  <c r="AN27" i="67"/>
  <c r="AN16" i="66"/>
  <c r="AN50" i="67" l="1"/>
  <c r="AN45" i="67"/>
  <c r="AN55" i="67"/>
  <c r="AN79" i="67"/>
  <c r="AN71" i="67"/>
  <c r="AN75" i="67"/>
  <c r="AN57" i="67"/>
  <c r="AN52" i="67"/>
  <c r="AN47" i="67"/>
  <c r="AO27" i="67"/>
  <c r="AO16" i="66"/>
  <c r="AO55" i="67" l="1"/>
  <c r="AO50" i="67"/>
  <c r="AO45" i="67"/>
  <c r="AO71" i="67"/>
  <c r="AO79" i="67"/>
  <c r="AO75" i="67"/>
  <c r="AO52" i="67"/>
  <c r="AO57" i="67"/>
  <c r="AO47" i="67"/>
  <c r="AP27" i="67"/>
  <c r="AP16" i="66"/>
  <c r="AP55" i="67" l="1"/>
  <c r="AP45" i="67"/>
  <c r="AP50" i="67"/>
  <c r="AP71" i="67"/>
  <c r="AP79" i="67"/>
  <c r="AP75" i="67"/>
  <c r="AP52" i="67"/>
  <c r="AP57" i="67"/>
  <c r="AP47" i="67"/>
  <c r="AQ27" i="67"/>
  <c r="AQ16" i="66"/>
  <c r="AQ50" i="67" l="1"/>
  <c r="AQ45" i="67"/>
  <c r="AQ55" i="67"/>
  <c r="AQ71" i="67"/>
  <c r="AQ79" i="67"/>
  <c r="AQ75" i="67"/>
  <c r="AQ57" i="67"/>
  <c r="AQ52" i="67"/>
  <c r="AQ47" i="67"/>
  <c r="AR27" i="67"/>
  <c r="AR16" i="66"/>
  <c r="AR55" i="67" l="1"/>
  <c r="AR45" i="67"/>
  <c r="AR50" i="67"/>
  <c r="AR71" i="67"/>
  <c r="AR79" i="67"/>
  <c r="AR75" i="67"/>
  <c r="AR52" i="67"/>
  <c r="AR57" i="67"/>
  <c r="AR47" i="67"/>
  <c r="AS27" i="67"/>
  <c r="AS16" i="66"/>
  <c r="AS55" i="67" l="1"/>
  <c r="AS50" i="67"/>
  <c r="AS45" i="67"/>
  <c r="AS79" i="67"/>
  <c r="AS75" i="67"/>
  <c r="AS71" i="67"/>
  <c r="AS52" i="67"/>
  <c r="AS57" i="67"/>
  <c r="AS47" i="67"/>
  <c r="AT27" i="67"/>
  <c r="AT16" i="66"/>
  <c r="AT55" i="67" l="1"/>
  <c r="AT45" i="67"/>
  <c r="AT50" i="67"/>
  <c r="AT75" i="67"/>
  <c r="AT79" i="67"/>
  <c r="AT71" i="67"/>
  <c r="AT52" i="67"/>
  <c r="AT57" i="67"/>
  <c r="AT47" i="67"/>
  <c r="G9" i="6"/>
  <c r="G7" i="6"/>
  <c r="G25" i="6"/>
  <c r="H25" i="6"/>
  <c r="I25" i="6"/>
  <c r="J25" i="6"/>
  <c r="K25" i="6"/>
  <c r="L25" i="6"/>
  <c r="M25" i="6"/>
  <c r="N25" i="6"/>
  <c r="O25" i="6"/>
  <c r="P25" i="6"/>
  <c r="Q25" i="6"/>
  <c r="R25" i="6"/>
  <c r="S25" i="6"/>
  <c r="T25" i="6"/>
  <c r="U25" i="6"/>
  <c r="V25" i="6"/>
  <c r="W25" i="6"/>
  <c r="X25" i="6"/>
  <c r="Y25" i="6"/>
  <c r="Z25" i="6"/>
  <c r="AA25" i="6"/>
  <c r="AB25" i="6"/>
  <c r="AC25" i="6"/>
  <c r="AD25" i="6"/>
  <c r="AE25" i="6"/>
  <c r="AF25" i="6"/>
  <c r="AG25" i="6"/>
  <c r="AH25" i="6"/>
  <c r="AI25" i="6"/>
  <c r="AJ25" i="6"/>
  <c r="AK25" i="6"/>
  <c r="AL25" i="6"/>
  <c r="AM25" i="6"/>
  <c r="AN25" i="6"/>
  <c r="AO25" i="6"/>
  <c r="AP25" i="6"/>
  <c r="AQ25" i="6"/>
  <c r="AR25" i="6"/>
  <c r="AS25" i="6"/>
  <c r="AT25" i="6"/>
  <c r="G26" i="6"/>
  <c r="H26" i="6"/>
  <c r="I26" i="6"/>
  <c r="J26" i="6"/>
  <c r="K26" i="6"/>
  <c r="L26" i="6"/>
  <c r="M26" i="6"/>
  <c r="N26" i="6"/>
  <c r="O26" i="6"/>
  <c r="P26" i="6"/>
  <c r="Q26" i="6"/>
  <c r="R26" i="6"/>
  <c r="S26" i="6"/>
  <c r="T26" i="6"/>
  <c r="U26" i="6"/>
  <c r="V26" i="6"/>
  <c r="W26" i="6"/>
  <c r="X26" i="6"/>
  <c r="Y26" i="6"/>
  <c r="Z26" i="6"/>
  <c r="AA26" i="6"/>
  <c r="AB26" i="6"/>
  <c r="AC26" i="6"/>
  <c r="AD26" i="6"/>
  <c r="AE26" i="6"/>
  <c r="AF26" i="6"/>
  <c r="AG26" i="6"/>
  <c r="AH26" i="6"/>
  <c r="AI26" i="6"/>
  <c r="AJ26" i="6"/>
  <c r="AK26" i="6"/>
  <c r="AL26" i="6"/>
  <c r="AM26" i="6"/>
  <c r="AN26" i="6"/>
  <c r="AO26" i="6"/>
  <c r="AP26" i="6"/>
  <c r="AQ26" i="6"/>
  <c r="AR26" i="6"/>
  <c r="AS26" i="6"/>
  <c r="AT26" i="6"/>
  <c r="F25" i="6"/>
  <c r="F26" i="6"/>
  <c r="D23" i="6"/>
  <c r="D64" i="4"/>
  <c r="D55" i="25"/>
  <c r="H3" i="25"/>
  <c r="C6" i="67"/>
  <c r="D39" i="25"/>
  <c r="I17" i="25"/>
  <c r="H17" i="25"/>
  <c r="H16" i="25"/>
  <c r="H15" i="25"/>
  <c r="H14" i="25"/>
  <c r="H13" i="25"/>
  <c r="H10" i="25"/>
  <c r="H9" i="25"/>
  <c r="I12" i="25"/>
  <c r="H12" i="25"/>
  <c r="I10" i="25"/>
  <c r="H9" i="6" l="1"/>
  <c r="I3" i="25"/>
  <c r="C6" i="66"/>
  <c r="I4" i="25"/>
  <c r="J10" i="25" s="1"/>
  <c r="D27" i="25"/>
  <c r="G27" i="25" s="1"/>
  <c r="I8" i="25"/>
  <c r="H8" i="25"/>
  <c r="I7" i="25"/>
  <c r="H7" i="25"/>
  <c r="I6" i="25"/>
  <c r="H6" i="25"/>
  <c r="H5" i="25"/>
  <c r="L9" i="65" l="1"/>
  <c r="AA9" i="65" s="1"/>
  <c r="H4" i="25"/>
  <c r="AB9" i="65" l="1"/>
  <c r="I11" i="25"/>
  <c r="I8" i="65"/>
  <c r="H8" i="65"/>
  <c r="I7" i="65"/>
  <c r="M7" i="65" s="1"/>
  <c r="H7" i="65"/>
  <c r="L7" i="65" s="1"/>
  <c r="V4" i="65"/>
  <c r="W4" i="65" s="1"/>
  <c r="X4" i="65" s="1"/>
  <c r="Y4" i="65" s="1"/>
  <c r="Z4" i="65" s="1"/>
  <c r="AA4" i="65" s="1"/>
  <c r="AB4" i="65" s="1"/>
  <c r="AC4" i="65" s="1"/>
  <c r="AD4" i="65" s="1"/>
  <c r="E4" i="65"/>
  <c r="F4" i="65" s="1"/>
  <c r="G4" i="65" s="1"/>
  <c r="H4" i="65" s="1"/>
  <c r="I4" i="65" s="1"/>
  <c r="J4" i="65" s="1"/>
  <c r="K4" i="65" s="1"/>
  <c r="L4" i="65" s="1"/>
  <c r="M4" i="65" s="1"/>
  <c r="N4" i="65" s="1"/>
  <c r="O4" i="65" s="1"/>
  <c r="P4" i="65" s="1"/>
  <c r="Q4" i="65" s="1"/>
  <c r="D99" i="4"/>
  <c r="D135" i="4"/>
  <c r="D134" i="4"/>
  <c r="D132" i="4"/>
  <c r="D131" i="4"/>
  <c r="D129" i="4"/>
  <c r="D128" i="4"/>
  <c r="W7" i="65" l="1"/>
  <c r="AB7" i="65" s="1"/>
  <c r="N7" i="65"/>
  <c r="D40" i="4"/>
  <c r="D43" i="4" s="1"/>
  <c r="D41" i="4"/>
  <c r="R41" i="66"/>
  <c r="AH41" i="66"/>
  <c r="I41" i="66"/>
  <c r="AO41" i="66"/>
  <c r="J41" i="66"/>
  <c r="AP41" i="66"/>
  <c r="K41" i="66"/>
  <c r="AA41" i="66"/>
  <c r="AB41" i="66"/>
  <c r="P41" i="66"/>
  <c r="S41" i="66"/>
  <c r="AI41" i="66"/>
  <c r="AK41" i="66"/>
  <c r="V41" i="66"/>
  <c r="Y41" i="66"/>
  <c r="Z41" i="66"/>
  <c r="AS41" i="66"/>
  <c r="AD41" i="66"/>
  <c r="T41" i="66"/>
  <c r="AJ41" i="66"/>
  <c r="U41" i="66"/>
  <c r="AL41" i="66"/>
  <c r="AC41" i="66"/>
  <c r="N41" i="66"/>
  <c r="N46" i="66" s="1"/>
  <c r="G41" i="66"/>
  <c r="W41" i="66"/>
  <c r="AM41" i="66"/>
  <c r="H41" i="66"/>
  <c r="X41" i="66"/>
  <c r="AN41" i="66"/>
  <c r="AQ41" i="66"/>
  <c r="L41" i="66"/>
  <c r="AR41" i="66"/>
  <c r="M41" i="66"/>
  <c r="AT41" i="66"/>
  <c r="O41" i="66"/>
  <c r="AE41" i="66"/>
  <c r="AF41" i="66"/>
  <c r="Q41" i="66"/>
  <c r="AG41" i="66"/>
  <c r="M8" i="65"/>
  <c r="N8" i="65"/>
  <c r="AC8" i="65" s="1"/>
  <c r="L8" i="65"/>
  <c r="N9" i="65"/>
  <c r="O9" i="65"/>
  <c r="D133" i="4"/>
  <c r="H15" i="67" s="1"/>
  <c r="D136" i="4"/>
  <c r="H14" i="67" s="1"/>
  <c r="D130" i="4"/>
  <c r="H10" i="6" s="1"/>
  <c r="D29" i="4" l="1"/>
  <c r="AA7" i="65"/>
  <c r="D44" i="4"/>
  <c r="I16" i="25" s="1"/>
  <c r="I15" i="25"/>
  <c r="P47" i="66"/>
  <c r="P46" i="66"/>
  <c r="X47" i="66"/>
  <c r="X46" i="66"/>
  <c r="V47" i="66"/>
  <c r="V46" i="66"/>
  <c r="AI46" i="66"/>
  <c r="AI47" i="66"/>
  <c r="AA46" i="66"/>
  <c r="AA47" i="66"/>
  <c r="O46" i="66"/>
  <c r="O47" i="66"/>
  <c r="AJ47" i="66"/>
  <c r="AJ46" i="66"/>
  <c r="J47" i="66"/>
  <c r="J46" i="66"/>
  <c r="Z47" i="66"/>
  <c r="Z46" i="66"/>
  <c r="W47" i="66"/>
  <c r="W46" i="66"/>
  <c r="AG46" i="66"/>
  <c r="AG47" i="66"/>
  <c r="Q47" i="66"/>
  <c r="Q46" i="66"/>
  <c r="K47" i="66"/>
  <c r="K46" i="66"/>
  <c r="AP47" i="66"/>
  <c r="AP46" i="66"/>
  <c r="AT46" i="66"/>
  <c r="AT47" i="66"/>
  <c r="T46" i="66"/>
  <c r="T47" i="66"/>
  <c r="AO47" i="66"/>
  <c r="AO46" i="66"/>
  <c r="AQ47" i="66"/>
  <c r="AQ46" i="66"/>
  <c r="AN46" i="66"/>
  <c r="AN47" i="66"/>
  <c r="N47" i="66"/>
  <c r="AL47" i="66"/>
  <c r="AL46" i="66"/>
  <c r="AE47" i="66"/>
  <c r="AE46" i="66"/>
  <c r="M47" i="66"/>
  <c r="M46" i="66"/>
  <c r="I46" i="66"/>
  <c r="I47" i="66"/>
  <c r="AK46" i="66"/>
  <c r="AK47" i="66"/>
  <c r="S47" i="66"/>
  <c r="S46" i="66"/>
  <c r="AB47" i="66"/>
  <c r="AB46" i="66"/>
  <c r="U46" i="66"/>
  <c r="U47" i="66"/>
  <c r="AR47" i="66"/>
  <c r="AR46" i="66"/>
  <c r="AD47" i="66"/>
  <c r="AD46" i="66"/>
  <c r="AH46" i="66"/>
  <c r="AH47" i="66"/>
  <c r="Y47" i="66"/>
  <c r="Y46" i="66"/>
  <c r="H46" i="66"/>
  <c r="H47" i="66"/>
  <c r="AM46" i="66"/>
  <c r="AM47" i="66"/>
  <c r="G47" i="66"/>
  <c r="G46" i="66"/>
  <c r="AC47" i="66"/>
  <c r="AC46" i="66"/>
  <c r="AF46" i="66"/>
  <c r="AF47" i="66"/>
  <c r="L46" i="66"/>
  <c r="L47" i="66"/>
  <c r="AS46" i="66"/>
  <c r="AS47" i="66"/>
  <c r="R46" i="66"/>
  <c r="R47" i="66"/>
  <c r="D28" i="4"/>
  <c r="AC9" i="65"/>
  <c r="O8" i="65"/>
  <c r="O7" i="65"/>
  <c r="AC7" i="65"/>
  <c r="I13" i="25" l="1"/>
  <c r="J13" i="25" s="1"/>
  <c r="D30" i="4"/>
  <c r="I14" i="25" s="1"/>
  <c r="J14" i="25" s="1"/>
  <c r="K14" i="25" s="1"/>
  <c r="J15" i="25"/>
  <c r="J16" i="25"/>
  <c r="K16" i="25" s="1"/>
  <c r="I9" i="25"/>
  <c r="J9" i="25" s="1"/>
  <c r="AD7" i="65"/>
  <c r="AD8" i="65"/>
  <c r="AD9" i="65" l="1"/>
  <c r="D63" i="4" l="1"/>
  <c r="H7" i="6" l="1"/>
  <c r="C199" i="46" l="1"/>
  <c r="D199" i="46"/>
  <c r="E199" i="46"/>
  <c r="C200" i="46"/>
  <c r="D200" i="46"/>
  <c r="E200" i="46"/>
  <c r="C201" i="46"/>
  <c r="D201" i="46"/>
  <c r="E201" i="46"/>
  <c r="C202" i="46"/>
  <c r="D202" i="46"/>
  <c r="E202" i="46"/>
  <c r="C203" i="46"/>
  <c r="D203" i="46"/>
  <c r="E203" i="46"/>
  <c r="C204" i="46"/>
  <c r="D204" i="46"/>
  <c r="E204" i="46"/>
  <c r="C205" i="46"/>
  <c r="D205" i="46"/>
  <c r="E205" i="46"/>
  <c r="C206" i="46"/>
  <c r="D206" i="46"/>
  <c r="E206" i="46"/>
  <c r="C207" i="46"/>
  <c r="D207" i="46"/>
  <c r="E207" i="46"/>
  <c r="D198" i="46"/>
  <c r="E198" i="46"/>
  <c r="C198" i="46"/>
  <c r="B199" i="46"/>
  <c r="B200" i="46"/>
  <c r="B201" i="46"/>
  <c r="B202" i="46"/>
  <c r="B203" i="46"/>
  <c r="B204" i="46" s="1"/>
  <c r="B205" i="46" s="1"/>
  <c r="B206" i="46" s="1"/>
  <c r="B207" i="46" s="1"/>
  <c r="B198" i="46"/>
  <c r="K8" i="36" l="1"/>
  <c r="C9" i="66" l="1"/>
  <c r="V17" i="66" s="1"/>
  <c r="C9" i="67"/>
  <c r="J17" i="66"/>
  <c r="K17" i="66"/>
  <c r="L17" i="66"/>
  <c r="M17" i="66"/>
  <c r="N17" i="66"/>
  <c r="O17" i="66"/>
  <c r="P17" i="66"/>
  <c r="Q17" i="66"/>
  <c r="R17" i="66"/>
  <c r="S17" i="66"/>
  <c r="T17" i="66"/>
  <c r="U17" i="66"/>
  <c r="X17" i="66"/>
  <c r="Y17" i="66"/>
  <c r="Z17" i="66"/>
  <c r="AA17" i="66"/>
  <c r="AB17" i="66"/>
  <c r="AC17" i="66"/>
  <c r="AD17" i="66"/>
  <c r="AE17" i="66"/>
  <c r="AF17" i="66"/>
  <c r="AG17" i="66"/>
  <c r="AH17" i="66"/>
  <c r="AI17" i="66"/>
  <c r="AJ17" i="66"/>
  <c r="AK17" i="66"/>
  <c r="AL17" i="66"/>
  <c r="AN17" i="66"/>
  <c r="AO17" i="66"/>
  <c r="AP17" i="66"/>
  <c r="AQ17" i="66"/>
  <c r="AR17" i="66"/>
  <c r="AS17" i="66"/>
  <c r="AT17" i="66"/>
  <c r="H17" i="66" l="1"/>
  <c r="I17" i="66"/>
  <c r="G17" i="66"/>
  <c r="AM17" i="66"/>
  <c r="W17" i="66"/>
  <c r="G28" i="67"/>
  <c r="H28" i="67"/>
  <c r="I28" i="67"/>
  <c r="J28" i="67"/>
  <c r="K28" i="67"/>
  <c r="L28" i="67"/>
  <c r="M28" i="67"/>
  <c r="N28" i="67"/>
  <c r="O28" i="67"/>
  <c r="P28" i="67"/>
  <c r="Q28" i="67"/>
  <c r="R28" i="67"/>
  <c r="S28" i="67"/>
  <c r="T28" i="67"/>
  <c r="U28" i="67"/>
  <c r="V28" i="67"/>
  <c r="W28" i="67"/>
  <c r="X28" i="67"/>
  <c r="Y28" i="67"/>
  <c r="Z28" i="67"/>
  <c r="AA28" i="67"/>
  <c r="AB28" i="67"/>
  <c r="AC28" i="67"/>
  <c r="AD28" i="67"/>
  <c r="AE28" i="67"/>
  <c r="AF28" i="67"/>
  <c r="AG28" i="67"/>
  <c r="AH28" i="67"/>
  <c r="AI28" i="67"/>
  <c r="AJ28" i="67"/>
  <c r="AK28" i="67"/>
  <c r="AL28" i="67"/>
  <c r="AM28" i="67"/>
  <c r="AN28" i="67"/>
  <c r="AO28" i="67"/>
  <c r="AP28" i="67"/>
  <c r="AQ28" i="67"/>
  <c r="AR28" i="67"/>
  <c r="AS28" i="67"/>
  <c r="AT28" i="67"/>
  <c r="C417" i="46"/>
  <c r="C413" i="46"/>
  <c r="D104" i="4" l="1"/>
  <c r="H12" i="66" s="1"/>
  <c r="D102" i="4"/>
  <c r="H10" i="66" s="1"/>
  <c r="D70" i="4"/>
  <c r="H8" i="6" s="1"/>
  <c r="D69" i="4"/>
  <c r="D62" i="4"/>
  <c r="D61" i="4"/>
  <c r="D60" i="4"/>
  <c r="D58" i="4"/>
  <c r="C8" i="11" l="1"/>
  <c r="C5" i="6"/>
  <c r="G16" i="6" s="1"/>
  <c r="C6" i="25"/>
  <c r="C4" i="25"/>
  <c r="C3" i="25"/>
  <c r="G20" i="25" s="1"/>
  <c r="C5" i="24"/>
  <c r="C3" i="24"/>
  <c r="C7" i="23"/>
  <c r="C5" i="23"/>
  <c r="C4" i="23"/>
  <c r="H11" i="23" s="1"/>
  <c r="C7" i="12"/>
  <c r="C5" i="12"/>
  <c r="C7" i="11"/>
  <c r="E15" i="11" s="1"/>
  <c r="D109" i="4" s="1"/>
  <c r="C5" i="11"/>
  <c r="C4" i="11"/>
  <c r="F30" i="11" s="1"/>
  <c r="G30" i="11" s="1"/>
  <c r="H30" i="11" s="1"/>
  <c r="I30" i="11" s="1"/>
  <c r="J30" i="11" s="1"/>
  <c r="K30" i="11" s="1"/>
  <c r="L30" i="11" s="1"/>
  <c r="M30" i="11" s="1"/>
  <c r="N30" i="11" s="1"/>
  <c r="O30" i="11" s="1"/>
  <c r="P30" i="11" s="1"/>
  <c r="Q30" i="11" s="1"/>
  <c r="R30" i="11" s="1"/>
  <c r="S30" i="11" s="1"/>
  <c r="T30" i="11" s="1"/>
  <c r="U30" i="11" s="1"/>
  <c r="V30" i="11" s="1"/>
  <c r="W30" i="11" s="1"/>
  <c r="X30" i="11" s="1"/>
  <c r="Y30" i="11" s="1"/>
  <c r="Z30" i="11" s="1"/>
  <c r="AA30" i="11" s="1"/>
  <c r="AB30" i="11" s="1"/>
  <c r="AC30" i="11" s="1"/>
  <c r="AD30" i="11" s="1"/>
  <c r="H6" i="6"/>
  <c r="C8" i="6"/>
  <c r="C6" i="6"/>
  <c r="G38" i="25" l="1"/>
  <c r="G45" i="25"/>
  <c r="G31" i="25"/>
  <c r="G46" i="25" s="1"/>
  <c r="E19" i="11"/>
  <c r="E21" i="11"/>
  <c r="E22" i="11"/>
  <c r="E23" i="11"/>
  <c r="I15" i="11"/>
  <c r="E16" i="11"/>
  <c r="E18" i="11"/>
  <c r="E17" i="11"/>
  <c r="E25" i="11"/>
  <c r="E24" i="11"/>
  <c r="AE30" i="11"/>
  <c r="AF30" i="11" s="1"/>
  <c r="AG30" i="11" s="1"/>
  <c r="I11" i="23"/>
  <c r="C7" i="66"/>
  <c r="Y18" i="66" s="1"/>
  <c r="C7" i="67"/>
  <c r="H16" i="6"/>
  <c r="H20" i="25"/>
  <c r="G11" i="23"/>
  <c r="C6" i="12"/>
  <c r="C7" i="6"/>
  <c r="C8" i="23"/>
  <c r="H12" i="23" s="1"/>
  <c r="C6" i="23"/>
  <c r="C6" i="24"/>
  <c r="C9" i="6"/>
  <c r="G17" i="6" s="1"/>
  <c r="C4" i="24"/>
  <c r="F31" i="11"/>
  <c r="C8" i="12"/>
  <c r="C6" i="11"/>
  <c r="F35" i="11" s="1"/>
  <c r="F28" i="24" s="1"/>
  <c r="C5" i="25"/>
  <c r="G22" i="25" s="1"/>
  <c r="C7" i="25"/>
  <c r="G21" i="25" s="1"/>
  <c r="C4" i="12"/>
  <c r="F12" i="12" s="1"/>
  <c r="C2" i="24"/>
  <c r="F9" i="24" s="1"/>
  <c r="H38" i="25" l="1"/>
  <c r="H45" i="25"/>
  <c r="G28" i="25"/>
  <c r="G39" i="25"/>
  <c r="G41" i="25" s="1"/>
  <c r="G42" i="25" s="1"/>
  <c r="G9" i="24"/>
  <c r="H9" i="24" s="1"/>
  <c r="I9" i="24" s="1"/>
  <c r="J9" i="24" s="1"/>
  <c r="K9" i="24" s="1"/>
  <c r="L9" i="24" s="1"/>
  <c r="M9" i="24" s="1"/>
  <c r="N9" i="24" s="1"/>
  <c r="O9" i="24" s="1"/>
  <c r="P9" i="24" s="1"/>
  <c r="Q9" i="24" s="1"/>
  <c r="R9" i="24" s="1"/>
  <c r="S9" i="24" s="1"/>
  <c r="T9" i="24" s="1"/>
  <c r="U9" i="24" s="1"/>
  <c r="V9" i="24" s="1"/>
  <c r="W9" i="24" s="1"/>
  <c r="X9" i="24" s="1"/>
  <c r="Y9" i="24" s="1"/>
  <c r="Z9" i="24" s="1"/>
  <c r="AA9" i="24" s="1"/>
  <c r="AB9" i="24" s="1"/>
  <c r="AC9" i="24" s="1"/>
  <c r="AD9" i="24" s="1"/>
  <c r="AE9" i="24" s="1"/>
  <c r="AF9" i="24" s="1"/>
  <c r="AG9" i="24" s="1"/>
  <c r="AH9" i="24" s="1"/>
  <c r="AI9" i="24" s="1"/>
  <c r="AJ9" i="24" s="1"/>
  <c r="AK9" i="24" s="1"/>
  <c r="AL9" i="24" s="1"/>
  <c r="AM9" i="24" s="1"/>
  <c r="AN9" i="24" s="1"/>
  <c r="AO9" i="24" s="1"/>
  <c r="AP9" i="24" s="1"/>
  <c r="AQ9" i="24" s="1"/>
  <c r="AR9" i="24" s="1"/>
  <c r="AS9" i="24" s="1"/>
  <c r="AT9" i="24" s="1"/>
  <c r="F14" i="12"/>
  <c r="I16" i="11"/>
  <c r="D110" i="4"/>
  <c r="I19" i="11"/>
  <c r="D113" i="4"/>
  <c r="I18" i="11"/>
  <c r="D112" i="4"/>
  <c r="I22" i="11"/>
  <c r="D116" i="4"/>
  <c r="AH30" i="11"/>
  <c r="I21" i="11"/>
  <c r="D115" i="4"/>
  <c r="I24" i="11"/>
  <c r="D118" i="4"/>
  <c r="I17" i="11"/>
  <c r="D111" i="4"/>
  <c r="I23" i="11"/>
  <c r="D117" i="4"/>
  <c r="I25" i="11"/>
  <c r="D119" i="4"/>
  <c r="G48" i="25"/>
  <c r="G59" i="25" s="1"/>
  <c r="AG18" i="66"/>
  <c r="X18" i="66"/>
  <c r="H18" i="66"/>
  <c r="T18" i="66"/>
  <c r="AE18" i="66"/>
  <c r="H27" i="25"/>
  <c r="H39" i="25" s="1"/>
  <c r="G12" i="12"/>
  <c r="AR18" i="66"/>
  <c r="L18" i="66"/>
  <c r="H22" i="23"/>
  <c r="H23" i="23" s="1"/>
  <c r="AQ18" i="66"/>
  <c r="AP18" i="66"/>
  <c r="AN18" i="66"/>
  <c r="J11" i="23"/>
  <c r="G18" i="66"/>
  <c r="AJ18" i="66"/>
  <c r="P18" i="66"/>
  <c r="N18" i="66"/>
  <c r="Q18" i="66"/>
  <c r="S18" i="66"/>
  <c r="AM18" i="66"/>
  <c r="AA18" i="66"/>
  <c r="AO18" i="66"/>
  <c r="K18" i="66"/>
  <c r="AH18" i="66"/>
  <c r="AS18" i="66"/>
  <c r="M18" i="66"/>
  <c r="AB18" i="66"/>
  <c r="W18" i="66"/>
  <c r="J18" i="66"/>
  <c r="AF18" i="66"/>
  <c r="R18" i="66"/>
  <c r="V18" i="66"/>
  <c r="AT18" i="66"/>
  <c r="I18" i="66"/>
  <c r="AK18" i="66"/>
  <c r="AD18" i="66"/>
  <c r="O18" i="66"/>
  <c r="U18" i="66"/>
  <c r="Z18" i="66"/>
  <c r="AI18" i="66"/>
  <c r="AL18" i="66"/>
  <c r="AC18" i="66"/>
  <c r="G29" i="67"/>
  <c r="W29" i="67"/>
  <c r="AM29" i="67"/>
  <c r="I29" i="67"/>
  <c r="AO29" i="67"/>
  <c r="AP29" i="67"/>
  <c r="AQ29" i="67"/>
  <c r="P29" i="67"/>
  <c r="R29" i="67"/>
  <c r="T29" i="67"/>
  <c r="U29" i="67"/>
  <c r="AL29" i="67"/>
  <c r="H29" i="67"/>
  <c r="X29" i="67"/>
  <c r="AN29" i="67"/>
  <c r="AA29" i="67"/>
  <c r="O29" i="67"/>
  <c r="AG29" i="67"/>
  <c r="S29" i="67"/>
  <c r="AJ29" i="67"/>
  <c r="AK29" i="67"/>
  <c r="Y29" i="67"/>
  <c r="Z29" i="67"/>
  <c r="AT29" i="67"/>
  <c r="AH29" i="67"/>
  <c r="J29" i="67"/>
  <c r="L29" i="67"/>
  <c r="AR29" i="67"/>
  <c r="AC29" i="67"/>
  <c r="AE29" i="67"/>
  <c r="AF29" i="67"/>
  <c r="Q29" i="67"/>
  <c r="K29" i="67"/>
  <c r="AB29" i="67"/>
  <c r="M29" i="67"/>
  <c r="AS29" i="67"/>
  <c r="N29" i="67"/>
  <c r="AD29" i="67"/>
  <c r="AI29" i="67"/>
  <c r="V29" i="67"/>
  <c r="I16" i="6"/>
  <c r="H31" i="25"/>
  <c r="H46" i="25" s="1"/>
  <c r="G32" i="25"/>
  <c r="I20" i="25"/>
  <c r="G12" i="23"/>
  <c r="H21" i="25"/>
  <c r="H17" i="6"/>
  <c r="G18" i="6"/>
  <c r="I12" i="23"/>
  <c r="F13" i="12"/>
  <c r="F32" i="11"/>
  <c r="H41" i="25" l="1"/>
  <c r="H42" i="25" s="1"/>
  <c r="F19" i="12"/>
  <c r="F20" i="12"/>
  <c r="F18" i="12"/>
  <c r="F21" i="12"/>
  <c r="I38" i="25"/>
  <c r="I45" i="25"/>
  <c r="I26" i="11"/>
  <c r="G49" i="25"/>
  <c r="AI30" i="11"/>
  <c r="AH35" i="11"/>
  <c r="I22" i="23"/>
  <c r="I23" i="23" s="1"/>
  <c r="AD35" i="11"/>
  <c r="AD28" i="24" s="1"/>
  <c r="H12" i="12"/>
  <c r="G14" i="12"/>
  <c r="K11" i="23"/>
  <c r="G22" i="23"/>
  <c r="G23" i="23" s="1"/>
  <c r="F52" i="24"/>
  <c r="H28" i="25"/>
  <c r="H32" i="25"/>
  <c r="H48" i="25"/>
  <c r="G55" i="25"/>
  <c r="G34" i="67" s="1"/>
  <c r="J16" i="6"/>
  <c r="I27" i="25"/>
  <c r="I39" i="25" s="1"/>
  <c r="I31" i="25"/>
  <c r="I46" i="25" s="1"/>
  <c r="J20" i="25"/>
  <c r="AK10" i="24"/>
  <c r="AK11" i="24"/>
  <c r="G11" i="24"/>
  <c r="G10" i="24"/>
  <c r="F10" i="24"/>
  <c r="F11" i="24"/>
  <c r="I21" i="25"/>
  <c r="H22" i="25"/>
  <c r="H18" i="6"/>
  <c r="G32" i="11"/>
  <c r="G35" i="11"/>
  <c r="G28" i="24" s="1"/>
  <c r="H35" i="11"/>
  <c r="H28" i="24" s="1"/>
  <c r="G31" i="11"/>
  <c r="H11" i="24"/>
  <c r="G13" i="12"/>
  <c r="J12" i="23"/>
  <c r="F23" i="12" l="1"/>
  <c r="F27" i="24" s="1"/>
  <c r="G20" i="12"/>
  <c r="G18" i="12"/>
  <c r="G19" i="12"/>
  <c r="G21" i="12"/>
  <c r="AF35" i="11"/>
  <c r="AG35" i="11"/>
  <c r="I41" i="25"/>
  <c r="I42" i="25" s="1"/>
  <c r="J38" i="25"/>
  <c r="J45" i="25"/>
  <c r="AJ30" i="11"/>
  <c r="AI35" i="11"/>
  <c r="G52" i="24"/>
  <c r="G53" i="24" s="1"/>
  <c r="G56" i="67"/>
  <c r="G46" i="67"/>
  <c r="G51" i="67"/>
  <c r="I12" i="12"/>
  <c r="H14" i="12"/>
  <c r="G38" i="67"/>
  <c r="G39" i="67" s="1"/>
  <c r="G68" i="67" s="1"/>
  <c r="L11" i="23"/>
  <c r="G64" i="67"/>
  <c r="F25" i="24" s="1"/>
  <c r="G62" i="67"/>
  <c r="F24" i="24" s="1"/>
  <c r="H59" i="25"/>
  <c r="H38" i="67" s="1"/>
  <c r="H39" i="67" s="1"/>
  <c r="H68" i="67" s="1"/>
  <c r="H70" i="67" s="1"/>
  <c r="H49" i="25"/>
  <c r="G26" i="66"/>
  <c r="G27" i="6"/>
  <c r="G56" i="25"/>
  <c r="G23" i="66"/>
  <c r="G23" i="6"/>
  <c r="I28" i="25"/>
  <c r="G60" i="25"/>
  <c r="I48" i="25"/>
  <c r="K16" i="6"/>
  <c r="H55" i="25"/>
  <c r="H34" i="67" s="1"/>
  <c r="J27" i="25"/>
  <c r="J39" i="25" s="1"/>
  <c r="J31" i="25"/>
  <c r="J46" i="25" s="1"/>
  <c r="I32" i="25"/>
  <c r="K20" i="25"/>
  <c r="AL10" i="24"/>
  <c r="AL11" i="24"/>
  <c r="F53" i="24"/>
  <c r="F45" i="24"/>
  <c r="I22" i="25"/>
  <c r="J21" i="25"/>
  <c r="I18" i="6"/>
  <c r="I17" i="6"/>
  <c r="K12" i="23"/>
  <c r="H10" i="24"/>
  <c r="I11" i="24"/>
  <c r="H32" i="11"/>
  <c r="I35" i="11"/>
  <c r="I28" i="24" s="1"/>
  <c r="H31" i="11"/>
  <c r="H13" i="12"/>
  <c r="G23" i="12" l="1"/>
  <c r="G27" i="24" s="1"/>
  <c r="G44" i="24" s="1"/>
  <c r="H18" i="12"/>
  <c r="H21" i="12"/>
  <c r="H20" i="12"/>
  <c r="H19" i="12"/>
  <c r="H23" i="12" s="1"/>
  <c r="H27" i="24" s="1"/>
  <c r="J41" i="25"/>
  <c r="J42" i="25" s="1"/>
  <c r="G87" i="66"/>
  <c r="G83" i="66"/>
  <c r="G86" i="66"/>
  <c r="G84" i="66"/>
  <c r="G77" i="66"/>
  <c r="G75" i="66"/>
  <c r="G74" i="66"/>
  <c r="G78" i="66"/>
  <c r="K38" i="25"/>
  <c r="K45" i="25"/>
  <c r="G78" i="67"/>
  <c r="G80" i="67" s="1"/>
  <c r="G74" i="67"/>
  <c r="G76" i="67" s="1"/>
  <c r="G70" i="67"/>
  <c r="G72" i="67" s="1"/>
  <c r="AK30" i="11"/>
  <c r="AJ35" i="11"/>
  <c r="AJ28" i="24" s="1"/>
  <c r="H56" i="67"/>
  <c r="H58" i="67" s="1"/>
  <c r="H46" i="67"/>
  <c r="H48" i="67" s="1"/>
  <c r="H51" i="67"/>
  <c r="H53" i="67" s="1"/>
  <c r="G32" i="6"/>
  <c r="G34" i="6"/>
  <c r="F19" i="24" s="1"/>
  <c r="J12" i="12"/>
  <c r="I14" i="12"/>
  <c r="H74" i="67"/>
  <c r="H76" i="67" s="1"/>
  <c r="H78" i="67"/>
  <c r="H80" i="67" s="1"/>
  <c r="H72" i="67"/>
  <c r="M11" i="23"/>
  <c r="G58" i="67"/>
  <c r="G53" i="67"/>
  <c r="G48" i="67"/>
  <c r="H64" i="67"/>
  <c r="G25" i="24" s="1"/>
  <c r="H62" i="67"/>
  <c r="G24" i="24" s="1"/>
  <c r="H60" i="25"/>
  <c r="I55" i="25"/>
  <c r="I34" i="67" s="1"/>
  <c r="G24" i="6"/>
  <c r="G33" i="6" s="1"/>
  <c r="F17" i="24" s="1"/>
  <c r="G35" i="67"/>
  <c r="H27" i="6"/>
  <c r="H26" i="66"/>
  <c r="G28" i="6"/>
  <c r="G37" i="6" s="1"/>
  <c r="G40" i="67"/>
  <c r="G61" i="66"/>
  <c r="G67" i="66" s="1"/>
  <c r="G52" i="66"/>
  <c r="G54" i="66" s="1"/>
  <c r="G57" i="66" s="1"/>
  <c r="I49" i="25"/>
  <c r="J28" i="25"/>
  <c r="J48" i="25"/>
  <c r="H23" i="66"/>
  <c r="H23" i="6"/>
  <c r="H56" i="25"/>
  <c r="L16" i="6"/>
  <c r="I59" i="25"/>
  <c r="I38" i="67" s="1"/>
  <c r="I39" i="67" s="1"/>
  <c r="I68" i="67" s="1"/>
  <c r="I70" i="67" s="1"/>
  <c r="J32" i="25"/>
  <c r="K27" i="25"/>
  <c r="K39" i="25" s="1"/>
  <c r="K31" i="25"/>
  <c r="K46" i="25" s="1"/>
  <c r="L20" i="25"/>
  <c r="F44" i="24"/>
  <c r="AM10" i="24"/>
  <c r="AM11" i="24"/>
  <c r="K21" i="25"/>
  <c r="J22" i="25"/>
  <c r="J17" i="6"/>
  <c r="J18" i="6"/>
  <c r="I31" i="11"/>
  <c r="I32" i="11"/>
  <c r="I10" i="24"/>
  <c r="G45" i="24"/>
  <c r="I13" i="12"/>
  <c r="H45" i="24"/>
  <c r="K3" i="35" s="1"/>
  <c r="L12" i="23"/>
  <c r="I18" i="12" l="1"/>
  <c r="I19" i="12"/>
  <c r="I20" i="12"/>
  <c r="I21" i="12"/>
  <c r="G92" i="66"/>
  <c r="G93" i="66"/>
  <c r="H61" i="66"/>
  <c r="H66" i="66" s="1"/>
  <c r="H83" i="66"/>
  <c r="H84" i="66"/>
  <c r="H74" i="66"/>
  <c r="H75" i="66"/>
  <c r="K41" i="25"/>
  <c r="K42" i="25" s="1"/>
  <c r="L38" i="25"/>
  <c r="L45" i="25"/>
  <c r="AL30" i="11"/>
  <c r="AM30" i="11" s="1"/>
  <c r="AN30" i="11" s="1"/>
  <c r="AO30" i="11" s="1"/>
  <c r="AP30" i="11" s="1"/>
  <c r="AQ30" i="11" s="1"/>
  <c r="AR30" i="11" s="1"/>
  <c r="AS30" i="11" s="1"/>
  <c r="AK35" i="11"/>
  <c r="H82" i="67"/>
  <c r="G84" i="67"/>
  <c r="G82" i="67"/>
  <c r="G41" i="24"/>
  <c r="H60" i="67"/>
  <c r="F41" i="24"/>
  <c r="G60" i="67"/>
  <c r="I56" i="67"/>
  <c r="I58" i="67" s="1"/>
  <c r="I46" i="67"/>
  <c r="I48" i="67" s="1"/>
  <c r="I51" i="67"/>
  <c r="I53" i="67" s="1"/>
  <c r="F18" i="24"/>
  <c r="G39" i="6"/>
  <c r="H34" i="6"/>
  <c r="G19" i="24" s="1"/>
  <c r="H32" i="6"/>
  <c r="K12" i="12"/>
  <c r="J14" i="12"/>
  <c r="I23" i="6"/>
  <c r="I23" i="66"/>
  <c r="H84" i="67"/>
  <c r="I72" i="67"/>
  <c r="I78" i="67"/>
  <c r="I74" i="67"/>
  <c r="H28" i="6"/>
  <c r="H37" i="6" s="1"/>
  <c r="H40" i="67"/>
  <c r="N11" i="23"/>
  <c r="I62" i="67"/>
  <c r="H24" i="24" s="1"/>
  <c r="I64" i="67"/>
  <c r="H25" i="24" s="1"/>
  <c r="H86" i="66"/>
  <c r="G66" i="66"/>
  <c r="G55" i="66"/>
  <c r="G58" i="66" s="1"/>
  <c r="H87" i="66"/>
  <c r="H78" i="66"/>
  <c r="H77" i="66"/>
  <c r="I56" i="25"/>
  <c r="H24" i="6"/>
  <c r="H33" i="6" s="1"/>
  <c r="G17" i="24" s="1"/>
  <c r="H35" i="67"/>
  <c r="G96" i="66"/>
  <c r="H52" i="66"/>
  <c r="H54" i="66" s="1"/>
  <c r="H57" i="66" s="1"/>
  <c r="J59" i="25"/>
  <c r="J38" i="67" s="1"/>
  <c r="J39" i="67" s="1"/>
  <c r="J68" i="67" s="1"/>
  <c r="J70" i="67" s="1"/>
  <c r="I60" i="25"/>
  <c r="I40" i="67" s="1"/>
  <c r="J49" i="25"/>
  <c r="K28" i="25"/>
  <c r="I26" i="66"/>
  <c r="I27" i="6"/>
  <c r="M16" i="6"/>
  <c r="J55" i="25"/>
  <c r="J34" i="67" s="1"/>
  <c r="K48" i="25"/>
  <c r="L27" i="25"/>
  <c r="L39" i="25" s="1"/>
  <c r="L31" i="25"/>
  <c r="L46" i="25" s="1"/>
  <c r="K32" i="25"/>
  <c r="M20" i="25"/>
  <c r="K22" i="25"/>
  <c r="AN10" i="24"/>
  <c r="AN11" i="24"/>
  <c r="L22" i="25"/>
  <c r="K18" i="6"/>
  <c r="K17" i="6"/>
  <c r="H44" i="24"/>
  <c r="J3" i="35" s="1"/>
  <c r="J11" i="24"/>
  <c r="J10" i="24"/>
  <c r="J35" i="11"/>
  <c r="J28" i="24" s="1"/>
  <c r="J31" i="11"/>
  <c r="J32" i="11"/>
  <c r="J13" i="12"/>
  <c r="M12" i="23"/>
  <c r="I23" i="12" l="1"/>
  <c r="I27" i="24" s="1"/>
  <c r="J19" i="12"/>
  <c r="J18" i="12"/>
  <c r="J21" i="12"/>
  <c r="J20" i="12"/>
  <c r="H67" i="66"/>
  <c r="L41" i="25"/>
  <c r="L42" i="25" s="1"/>
  <c r="H93" i="66"/>
  <c r="H92" i="66"/>
  <c r="I83" i="66"/>
  <c r="I84" i="66"/>
  <c r="I52" i="66"/>
  <c r="I54" i="66" s="1"/>
  <c r="I57" i="66" s="1"/>
  <c r="I74" i="66"/>
  <c r="I75" i="66"/>
  <c r="M45" i="25"/>
  <c r="M38" i="25"/>
  <c r="F23" i="24"/>
  <c r="G23" i="24"/>
  <c r="H41" i="24"/>
  <c r="H3" i="35" s="1"/>
  <c r="I60" i="67"/>
  <c r="J51" i="67"/>
  <c r="J53" i="67" s="1"/>
  <c r="J46" i="67"/>
  <c r="J48" i="67" s="1"/>
  <c r="J56" i="67"/>
  <c r="I78" i="66"/>
  <c r="H39" i="6"/>
  <c r="G18" i="24"/>
  <c r="I32" i="6"/>
  <c r="I34" i="6"/>
  <c r="H19" i="24" s="1"/>
  <c r="I77" i="66"/>
  <c r="F21" i="24"/>
  <c r="G42" i="6"/>
  <c r="L12" i="12"/>
  <c r="K14" i="12"/>
  <c r="I76" i="67"/>
  <c r="J78" i="67"/>
  <c r="J80" i="67" s="1"/>
  <c r="J74" i="67"/>
  <c r="J76" i="67" s="1"/>
  <c r="I80" i="67"/>
  <c r="O11" i="23"/>
  <c r="J64" i="67"/>
  <c r="I25" i="24" s="1"/>
  <c r="J62" i="67"/>
  <c r="I24" i="24" s="1"/>
  <c r="H96" i="66"/>
  <c r="G21" i="24" s="1"/>
  <c r="I24" i="6"/>
  <c r="I33" i="6" s="1"/>
  <c r="H17" i="24" s="1"/>
  <c r="I35" i="67"/>
  <c r="H55" i="66"/>
  <c r="H58" i="66" s="1"/>
  <c r="J27" i="6"/>
  <c r="J60" i="25"/>
  <c r="J40" i="67" s="1"/>
  <c r="I87" i="66"/>
  <c r="I86" i="66"/>
  <c r="I28" i="6"/>
  <c r="I37" i="6" s="1"/>
  <c r="J26" i="66"/>
  <c r="I61" i="66"/>
  <c r="I66" i="66" s="1"/>
  <c r="K55" i="25"/>
  <c r="K34" i="67" s="1"/>
  <c r="L28" i="25"/>
  <c r="J23" i="66"/>
  <c r="J23" i="6"/>
  <c r="J56" i="25"/>
  <c r="N16" i="6"/>
  <c r="L48" i="25"/>
  <c r="K59" i="25"/>
  <c r="K38" i="67" s="1"/>
  <c r="K39" i="67" s="1"/>
  <c r="K68" i="67" s="1"/>
  <c r="K70" i="67" s="1"/>
  <c r="L32" i="25"/>
  <c r="K49" i="25"/>
  <c r="M27" i="25"/>
  <c r="M39" i="25" s="1"/>
  <c r="M31" i="25"/>
  <c r="M46" i="25" s="1"/>
  <c r="N20" i="25"/>
  <c r="AO10" i="24"/>
  <c r="AO11" i="24"/>
  <c r="L21" i="25"/>
  <c r="K11" i="24"/>
  <c r="I45" i="24"/>
  <c r="K4" i="35" s="1"/>
  <c r="L18" i="6"/>
  <c r="L17" i="6"/>
  <c r="N12" i="23"/>
  <c r="I44" i="24"/>
  <c r="J4" i="35" s="1"/>
  <c r="K13" i="12"/>
  <c r="K10" i="24"/>
  <c r="L11" i="24"/>
  <c r="M21" i="25"/>
  <c r="K32" i="11"/>
  <c r="K35" i="11"/>
  <c r="K28" i="24" s="1"/>
  <c r="K31" i="11"/>
  <c r="J45" i="24"/>
  <c r="K5" i="35" s="1"/>
  <c r="I92" i="66" l="1"/>
  <c r="J23" i="12"/>
  <c r="I55" i="66"/>
  <c r="I58" i="66" s="1"/>
  <c r="K18" i="12"/>
  <c r="K20" i="12"/>
  <c r="K21" i="12"/>
  <c r="K19" i="12"/>
  <c r="M41" i="25"/>
  <c r="M42" i="25" s="1"/>
  <c r="I93" i="66"/>
  <c r="J61" i="66"/>
  <c r="J66" i="66" s="1"/>
  <c r="J84" i="66"/>
  <c r="J83" i="66"/>
  <c r="J75" i="66"/>
  <c r="J74" i="66"/>
  <c r="N45" i="25"/>
  <c r="N38" i="25"/>
  <c r="K23" i="12"/>
  <c r="K27" i="24" s="1"/>
  <c r="I82" i="67"/>
  <c r="H23" i="24" s="1"/>
  <c r="H18" i="24"/>
  <c r="H35" i="24" s="1"/>
  <c r="D3" i="35" s="1"/>
  <c r="K46" i="67"/>
  <c r="K56" i="67"/>
  <c r="K58" i="67" s="1"/>
  <c r="K51" i="67"/>
  <c r="K53" i="67" s="1"/>
  <c r="J27" i="24"/>
  <c r="J44" i="24" s="1"/>
  <c r="J5" i="35" s="1"/>
  <c r="I39" i="6"/>
  <c r="J32" i="6"/>
  <c r="J34" i="6"/>
  <c r="I19" i="24" s="1"/>
  <c r="M12" i="12"/>
  <c r="L14" i="12"/>
  <c r="I84" i="67"/>
  <c r="J72" i="67"/>
  <c r="J82" i="67" s="1"/>
  <c r="K72" i="67"/>
  <c r="K78" i="67"/>
  <c r="K74" i="67"/>
  <c r="K76" i="67" s="1"/>
  <c r="P11" i="23"/>
  <c r="J58" i="67"/>
  <c r="J60" i="67" s="1"/>
  <c r="K62" i="67"/>
  <c r="J24" i="24" s="1"/>
  <c r="K64" i="67"/>
  <c r="J25" i="24" s="1"/>
  <c r="J42" i="24" s="1"/>
  <c r="I5" i="35" s="1"/>
  <c r="K56" i="25"/>
  <c r="J24" i="6"/>
  <c r="J33" i="6" s="1"/>
  <c r="I17" i="24" s="1"/>
  <c r="J35" i="67"/>
  <c r="K23" i="6"/>
  <c r="J78" i="66"/>
  <c r="J77" i="66"/>
  <c r="K23" i="66"/>
  <c r="I67" i="66"/>
  <c r="I96" i="66"/>
  <c r="H21" i="24" s="1"/>
  <c r="J28" i="6"/>
  <c r="J37" i="6" s="1"/>
  <c r="J87" i="66"/>
  <c r="J86" i="66"/>
  <c r="J52" i="66"/>
  <c r="J55" i="66" s="1"/>
  <c r="J58" i="66" s="1"/>
  <c r="L59" i="25"/>
  <c r="L38" i="67" s="1"/>
  <c r="L39" i="67" s="1"/>
  <c r="L68" i="67" s="1"/>
  <c r="L70" i="67" s="1"/>
  <c r="L49" i="25"/>
  <c r="M32" i="25"/>
  <c r="M28" i="25"/>
  <c r="L55" i="25"/>
  <c r="L34" i="67" s="1"/>
  <c r="K60" i="25"/>
  <c r="K40" i="67" s="1"/>
  <c r="K26" i="66"/>
  <c r="K27" i="6"/>
  <c r="O16" i="6"/>
  <c r="M48" i="25"/>
  <c r="N27" i="25"/>
  <c r="N39" i="25" s="1"/>
  <c r="N31" i="25"/>
  <c r="N46" i="25" s="1"/>
  <c r="O20" i="25"/>
  <c r="M22" i="25"/>
  <c r="AP10" i="24"/>
  <c r="AP11" i="24"/>
  <c r="M18" i="6"/>
  <c r="M17" i="6"/>
  <c r="O12" i="23"/>
  <c r="N22" i="25"/>
  <c r="N21" i="25"/>
  <c r="G35" i="24"/>
  <c r="L10" i="24"/>
  <c r="M11" i="24"/>
  <c r="L32" i="11"/>
  <c r="L31" i="11"/>
  <c r="L35" i="11"/>
  <c r="L28" i="24" s="1"/>
  <c r="K45" i="24"/>
  <c r="K6" i="35" s="1"/>
  <c r="L13" i="12"/>
  <c r="L18" i="12" l="1"/>
  <c r="L21" i="12"/>
  <c r="L20" i="12"/>
  <c r="L19" i="12"/>
  <c r="J67" i="66"/>
  <c r="J92" i="66"/>
  <c r="J93" i="66"/>
  <c r="K83" i="66"/>
  <c r="K84" i="66"/>
  <c r="K52" i="66"/>
  <c r="K54" i="66" s="1"/>
  <c r="K57" i="66" s="1"/>
  <c r="K74" i="66"/>
  <c r="K75" i="66"/>
  <c r="O45" i="25"/>
  <c r="O38" i="25"/>
  <c r="N41" i="25"/>
  <c r="N42" i="25" s="1"/>
  <c r="M14" i="12"/>
  <c r="I23" i="24"/>
  <c r="I18" i="24"/>
  <c r="I35" i="24" s="1"/>
  <c r="D4" i="35" s="1"/>
  <c r="J41" i="24"/>
  <c r="H5" i="35" s="1"/>
  <c r="L56" i="67"/>
  <c r="L58" i="67" s="1"/>
  <c r="L46" i="67"/>
  <c r="L48" i="67" s="1"/>
  <c r="L51" i="67"/>
  <c r="J84" i="67"/>
  <c r="I41" i="24"/>
  <c r="H4" i="35" s="1"/>
  <c r="K32" i="6"/>
  <c r="K34" i="6"/>
  <c r="J19" i="24" s="1"/>
  <c r="J36" i="24" s="1"/>
  <c r="E5" i="35" s="1"/>
  <c r="J39" i="6"/>
  <c r="N12" i="12"/>
  <c r="L26" i="66"/>
  <c r="K80" i="67"/>
  <c r="K82" i="67" s="1"/>
  <c r="L74" i="67"/>
  <c r="L76" i="67" s="1"/>
  <c r="L72" i="67"/>
  <c r="L78" i="67"/>
  <c r="L80" i="67" s="1"/>
  <c r="Q11" i="23"/>
  <c r="K48" i="67"/>
  <c r="K60" i="67" s="1"/>
  <c r="L64" i="67"/>
  <c r="K25" i="24" s="1"/>
  <c r="L62" i="67"/>
  <c r="K24" i="24" s="1"/>
  <c r="J54" i="66"/>
  <c r="J57" i="66" s="1"/>
  <c r="K78" i="66"/>
  <c r="K77" i="66"/>
  <c r="K24" i="6"/>
  <c r="K33" i="6" s="1"/>
  <c r="J17" i="24" s="1"/>
  <c r="K35" i="67"/>
  <c r="J96" i="66"/>
  <c r="I21" i="24" s="1"/>
  <c r="K28" i="6"/>
  <c r="K37" i="6" s="1"/>
  <c r="L60" i="25"/>
  <c r="L40" i="67" s="1"/>
  <c r="K86" i="66"/>
  <c r="K87" i="66"/>
  <c r="L27" i="6"/>
  <c r="K61" i="66"/>
  <c r="K66" i="66" s="1"/>
  <c r="M59" i="25"/>
  <c r="M38" i="67" s="1"/>
  <c r="M39" i="67" s="1"/>
  <c r="M68" i="67" s="1"/>
  <c r="M70" i="67" s="1"/>
  <c r="N28" i="25"/>
  <c r="L56" i="25"/>
  <c r="L23" i="66"/>
  <c r="L23" i="6"/>
  <c r="P16" i="6"/>
  <c r="M55" i="25"/>
  <c r="M34" i="67" s="1"/>
  <c r="M49" i="25"/>
  <c r="N48" i="25"/>
  <c r="N32" i="25"/>
  <c r="O27" i="25"/>
  <c r="O39" i="25" s="1"/>
  <c r="O31" i="25"/>
  <c r="O46" i="25" s="1"/>
  <c r="P20" i="25"/>
  <c r="AQ10" i="24"/>
  <c r="AQ11" i="24"/>
  <c r="N18" i="6"/>
  <c r="N17" i="6"/>
  <c r="L45" i="24"/>
  <c r="K7" i="35" s="1"/>
  <c r="M35" i="11"/>
  <c r="M28" i="24" s="1"/>
  <c r="M32" i="11"/>
  <c r="M31" i="11"/>
  <c r="N11" i="24"/>
  <c r="M10" i="24"/>
  <c r="M13" i="12"/>
  <c r="G42" i="24"/>
  <c r="I42" i="24"/>
  <c r="I4" i="35" s="1"/>
  <c r="O21" i="25"/>
  <c r="O22" i="25"/>
  <c r="P12" i="23"/>
  <c r="H42" i="24"/>
  <c r="I3" i="35" s="1"/>
  <c r="K92" i="66" l="1"/>
  <c r="L23" i="12"/>
  <c r="L27" i="24" s="1"/>
  <c r="M21" i="12"/>
  <c r="M18" i="12"/>
  <c r="M20" i="12"/>
  <c r="M19" i="12"/>
  <c r="K55" i="66"/>
  <c r="K58" i="66" s="1"/>
  <c r="K93" i="66"/>
  <c r="L61" i="66"/>
  <c r="L67" i="66" s="1"/>
  <c r="L84" i="66"/>
  <c r="L83" i="66"/>
  <c r="L75" i="66"/>
  <c r="L74" i="66"/>
  <c r="O41" i="25"/>
  <c r="O42" i="25" s="1"/>
  <c r="P45" i="25"/>
  <c r="P38" i="25"/>
  <c r="M23" i="12"/>
  <c r="M27" i="24" s="1"/>
  <c r="L82" i="67"/>
  <c r="J18" i="24"/>
  <c r="J35" i="24" s="1"/>
  <c r="D5" i="35" s="1"/>
  <c r="J23" i="24"/>
  <c r="K41" i="24"/>
  <c r="H6" i="35" s="1"/>
  <c r="M46" i="67"/>
  <c r="M48" i="67" s="1"/>
  <c r="M56" i="67"/>
  <c r="M58" i="67" s="1"/>
  <c r="M51" i="67"/>
  <c r="M53" i="67" s="1"/>
  <c r="K39" i="6"/>
  <c r="L32" i="6"/>
  <c r="L34" i="6"/>
  <c r="O12" i="12"/>
  <c r="N14" i="12"/>
  <c r="L86" i="66"/>
  <c r="L87" i="66"/>
  <c r="M74" i="67"/>
  <c r="M76" i="67" s="1"/>
  <c r="M72" i="67"/>
  <c r="M78" i="67"/>
  <c r="M80" i="67" s="1"/>
  <c r="K84" i="67"/>
  <c r="R11" i="23"/>
  <c r="L53" i="67"/>
  <c r="L84" i="67" s="1"/>
  <c r="M64" i="67"/>
  <c r="L25" i="24" s="1"/>
  <c r="M62" i="67"/>
  <c r="L24" i="24" s="1"/>
  <c r="N56" i="25"/>
  <c r="L24" i="6"/>
  <c r="L33" i="6" s="1"/>
  <c r="K17" i="24" s="1"/>
  <c r="L35" i="67"/>
  <c r="L78" i="66"/>
  <c r="L77" i="66"/>
  <c r="K67" i="66"/>
  <c r="K96" i="66"/>
  <c r="J21" i="24" s="1"/>
  <c r="J38" i="24" s="1"/>
  <c r="F5" i="35" s="1"/>
  <c r="L28" i="6"/>
  <c r="L37" i="6" s="1"/>
  <c r="L52" i="66"/>
  <c r="L55" i="66" s="1"/>
  <c r="L58" i="66" s="1"/>
  <c r="N55" i="25"/>
  <c r="N34" i="67" s="1"/>
  <c r="M56" i="25"/>
  <c r="O32" i="25"/>
  <c r="M23" i="66"/>
  <c r="M23" i="6"/>
  <c r="O28" i="25"/>
  <c r="M26" i="66"/>
  <c r="M27" i="6"/>
  <c r="M60" i="25"/>
  <c r="M40" i="67" s="1"/>
  <c r="Q16" i="6"/>
  <c r="N49" i="25"/>
  <c r="N59" i="25"/>
  <c r="N38" i="67" s="1"/>
  <c r="N39" i="67" s="1"/>
  <c r="N68" i="67" s="1"/>
  <c r="N70" i="67" s="1"/>
  <c r="O48" i="25"/>
  <c r="P27" i="25"/>
  <c r="P39" i="25" s="1"/>
  <c r="P31" i="25"/>
  <c r="P46" i="25" s="1"/>
  <c r="Q20" i="25"/>
  <c r="H34" i="24"/>
  <c r="C3" i="35" s="1"/>
  <c r="AR11" i="24"/>
  <c r="AR10" i="24"/>
  <c r="I34" i="24"/>
  <c r="C4" i="35" s="1"/>
  <c r="K42" i="24"/>
  <c r="I6" i="35" s="1"/>
  <c r="J34" i="24"/>
  <c r="C5" i="35" s="1"/>
  <c r="F36" i="24"/>
  <c r="O17" i="6"/>
  <c r="O18" i="6"/>
  <c r="H38" i="24"/>
  <c r="F3" i="35" s="1"/>
  <c r="I38" i="24"/>
  <c r="F4" i="35" s="1"/>
  <c r="G38" i="24"/>
  <c r="G36" i="24"/>
  <c r="H36" i="24"/>
  <c r="E3" i="35" s="1"/>
  <c r="I36" i="24"/>
  <c r="E4" i="35" s="1"/>
  <c r="F35" i="24"/>
  <c r="N35" i="11"/>
  <c r="N28" i="24" s="1"/>
  <c r="N32" i="11"/>
  <c r="N31" i="11"/>
  <c r="P21" i="25"/>
  <c r="P22" i="25"/>
  <c r="M45" i="24"/>
  <c r="K8" i="35" s="1"/>
  <c r="N13" i="12"/>
  <c r="N10" i="24"/>
  <c r="O11" i="24"/>
  <c r="Q12" i="23"/>
  <c r="L66" i="66" l="1"/>
  <c r="N18" i="12"/>
  <c r="N20" i="12"/>
  <c r="N19" i="12"/>
  <c r="N21" i="12"/>
  <c r="L92" i="66"/>
  <c r="P41" i="25"/>
  <c r="P42" i="25" s="1"/>
  <c r="L93" i="66"/>
  <c r="M83" i="66"/>
  <c r="M84" i="66"/>
  <c r="M74" i="66"/>
  <c r="M75" i="66"/>
  <c r="Q45" i="25"/>
  <c r="Q38" i="25"/>
  <c r="N23" i="12"/>
  <c r="N27" i="24" s="1"/>
  <c r="M82" i="67"/>
  <c r="L41" i="24"/>
  <c r="H7" i="35" s="1"/>
  <c r="M60" i="67"/>
  <c r="L60" i="67"/>
  <c r="K23" i="24" s="1"/>
  <c r="N51" i="67"/>
  <c r="N53" i="67" s="1"/>
  <c r="N46" i="67"/>
  <c r="N48" i="67" s="1"/>
  <c r="N56" i="67"/>
  <c r="N58" i="67" s="1"/>
  <c r="L39" i="6"/>
  <c r="K18" i="24"/>
  <c r="K35" i="24" s="1"/>
  <c r="D6" i="35" s="1"/>
  <c r="K19" i="24"/>
  <c r="K36" i="24" s="1"/>
  <c r="E6" i="35" s="1"/>
  <c r="M32" i="6"/>
  <c r="M34" i="6"/>
  <c r="L19" i="24" s="1"/>
  <c r="P12" i="12"/>
  <c r="O14" i="12"/>
  <c r="L96" i="66"/>
  <c r="K21" i="24" s="1"/>
  <c r="K38" i="24" s="1"/>
  <c r="F6" i="35" s="1"/>
  <c r="M84" i="67"/>
  <c r="N78" i="67"/>
  <c r="N74" i="67"/>
  <c r="Q22" i="23"/>
  <c r="Q23" i="23" s="1"/>
  <c r="S11" i="23"/>
  <c r="N62" i="67"/>
  <c r="M24" i="24" s="1"/>
  <c r="N64" i="67"/>
  <c r="M25" i="24" s="1"/>
  <c r="L54" i="66"/>
  <c r="L57" i="66" s="1"/>
  <c r="M77" i="66"/>
  <c r="M78" i="66"/>
  <c r="N23" i="66"/>
  <c r="M24" i="6"/>
  <c r="M33" i="6" s="1"/>
  <c r="L17" i="24" s="1"/>
  <c r="M35" i="67"/>
  <c r="N23" i="6"/>
  <c r="N24" i="6"/>
  <c r="N33" i="6" s="1"/>
  <c r="M17" i="24" s="1"/>
  <c r="N35" i="67"/>
  <c r="M28" i="6"/>
  <c r="M37" i="6" s="1"/>
  <c r="M87" i="66"/>
  <c r="M86" i="66"/>
  <c r="M52" i="66"/>
  <c r="M55" i="66" s="1"/>
  <c r="M58" i="66" s="1"/>
  <c r="M61" i="66"/>
  <c r="M67" i="66" s="1"/>
  <c r="N26" i="66"/>
  <c r="N27" i="6"/>
  <c r="N60" i="25"/>
  <c r="N40" i="67" s="1"/>
  <c r="P32" i="25"/>
  <c r="P28" i="25"/>
  <c r="R16" i="6"/>
  <c r="O55" i="25"/>
  <c r="O34" i="67" s="1"/>
  <c r="O49" i="25"/>
  <c r="O59" i="25"/>
  <c r="O38" i="67" s="1"/>
  <c r="O39" i="67" s="1"/>
  <c r="O68" i="67" s="1"/>
  <c r="O70" i="67" s="1"/>
  <c r="P48" i="25"/>
  <c r="Q27" i="25"/>
  <c r="Q39" i="25" s="1"/>
  <c r="Q31" i="25"/>
  <c r="Q46" i="25" s="1"/>
  <c r="R20" i="25"/>
  <c r="L42" i="24"/>
  <c r="I7" i="35" s="1"/>
  <c r="AS11" i="24"/>
  <c r="AS10" i="24"/>
  <c r="K34" i="24"/>
  <c r="C6" i="35" s="1"/>
  <c r="G34" i="24"/>
  <c r="F38" i="24"/>
  <c r="P18" i="6"/>
  <c r="P17" i="6"/>
  <c r="R12" i="23"/>
  <c r="O10" i="24"/>
  <c r="P11" i="24"/>
  <c r="O13" i="12"/>
  <c r="F42" i="24"/>
  <c r="O31" i="11"/>
  <c r="O32" i="11"/>
  <c r="O35" i="11"/>
  <c r="O28" i="24" s="1"/>
  <c r="F34" i="24"/>
  <c r="Q21" i="25"/>
  <c r="Q22" i="25"/>
  <c r="N45" i="24"/>
  <c r="K9" i="35" s="1"/>
  <c r="M93" i="66" l="1"/>
  <c r="Q41" i="25"/>
  <c r="Q42" i="25" s="1"/>
  <c r="M92" i="66"/>
  <c r="O18" i="12"/>
  <c r="O20" i="12"/>
  <c r="O21" i="12"/>
  <c r="O19" i="12"/>
  <c r="N84" i="66"/>
  <c r="N83" i="66"/>
  <c r="N52" i="66"/>
  <c r="N54" i="66" s="1"/>
  <c r="N57" i="66" s="1"/>
  <c r="N75" i="66"/>
  <c r="N74" i="66"/>
  <c r="R45" i="25"/>
  <c r="R38" i="25"/>
  <c r="O23" i="12"/>
  <c r="O27" i="24" s="1"/>
  <c r="L23" i="24"/>
  <c r="M41" i="24"/>
  <c r="H8" i="35" s="1"/>
  <c r="N60" i="67"/>
  <c r="O51" i="67"/>
  <c r="O53" i="67" s="1"/>
  <c r="O56" i="67"/>
  <c r="O58" i="67" s="1"/>
  <c r="O46" i="67"/>
  <c r="O48" i="67" s="1"/>
  <c r="M39" i="6"/>
  <c r="L18" i="24"/>
  <c r="L35" i="24" s="1"/>
  <c r="D7" i="35" s="1"/>
  <c r="N32" i="6"/>
  <c r="N34" i="6"/>
  <c r="Q12" i="12"/>
  <c r="P14" i="12"/>
  <c r="O52" i="24"/>
  <c r="O53" i="24" s="1"/>
  <c r="R22" i="23"/>
  <c r="R23" i="23" s="1"/>
  <c r="N72" i="67"/>
  <c r="N76" i="67"/>
  <c r="O74" i="67"/>
  <c r="O76" i="67" s="1"/>
  <c r="O78" i="67"/>
  <c r="O80" i="67" s="1"/>
  <c r="O72" i="67"/>
  <c r="N80" i="67"/>
  <c r="T11" i="23"/>
  <c r="O64" i="67"/>
  <c r="N25" i="24" s="1"/>
  <c r="O62" i="67"/>
  <c r="N24" i="24" s="1"/>
  <c r="M96" i="66"/>
  <c r="L21" i="24" s="1"/>
  <c r="M66" i="66"/>
  <c r="M54" i="66"/>
  <c r="M57" i="66" s="1"/>
  <c r="N78" i="66"/>
  <c r="N77" i="66"/>
  <c r="N28" i="6"/>
  <c r="N37" i="6" s="1"/>
  <c r="N86" i="66"/>
  <c r="N87" i="66"/>
  <c r="N61" i="66"/>
  <c r="N67" i="66" s="1"/>
  <c r="P55" i="25"/>
  <c r="P34" i="67" s="1"/>
  <c r="Q32" i="25"/>
  <c r="Q28" i="25"/>
  <c r="O56" i="25"/>
  <c r="O26" i="66"/>
  <c r="O27" i="6"/>
  <c r="O23" i="66"/>
  <c r="O23" i="6"/>
  <c r="O60" i="25"/>
  <c r="O40" i="67" s="1"/>
  <c r="S16" i="6"/>
  <c r="P49" i="25"/>
  <c r="P59" i="25"/>
  <c r="P38" i="67" s="1"/>
  <c r="P39" i="67" s="1"/>
  <c r="P68" i="67" s="1"/>
  <c r="P70" i="67" s="1"/>
  <c r="Q48" i="25"/>
  <c r="Q49" i="25" s="1"/>
  <c r="R27" i="25"/>
  <c r="R39" i="25" s="1"/>
  <c r="R31" i="25"/>
  <c r="R46" i="25" s="1"/>
  <c r="S20" i="25"/>
  <c r="AT10" i="24"/>
  <c r="AT41" i="24" s="1"/>
  <c r="AT11" i="24"/>
  <c r="L36" i="24"/>
  <c r="E7" i="35" s="1"/>
  <c r="Q18" i="6"/>
  <c r="Q17" i="6"/>
  <c r="R21" i="25"/>
  <c r="R22" i="25"/>
  <c r="P13" i="12"/>
  <c r="S12" i="23"/>
  <c r="P10" i="24"/>
  <c r="Q11" i="24"/>
  <c r="P32" i="11"/>
  <c r="P35" i="11"/>
  <c r="P28" i="24" s="1"/>
  <c r="P31" i="11"/>
  <c r="O45" i="24"/>
  <c r="K10" i="35" s="1"/>
  <c r="N92" i="66" l="1"/>
  <c r="R41" i="25"/>
  <c r="R42" i="25" s="1"/>
  <c r="N55" i="66"/>
  <c r="N58" i="66" s="1"/>
  <c r="P20" i="12"/>
  <c r="P19" i="12"/>
  <c r="P18" i="12"/>
  <c r="P21" i="12"/>
  <c r="N93" i="66"/>
  <c r="O84" i="66"/>
  <c r="O83" i="66"/>
  <c r="O75" i="66"/>
  <c r="O74" i="66"/>
  <c r="S45" i="25"/>
  <c r="S38" i="25"/>
  <c r="P23" i="12"/>
  <c r="P27" i="24" s="1"/>
  <c r="N82" i="67"/>
  <c r="M23" i="24" s="1"/>
  <c r="O82" i="67"/>
  <c r="N41" i="24"/>
  <c r="H9" i="35" s="1"/>
  <c r="O60" i="67"/>
  <c r="P46" i="67"/>
  <c r="P48" i="67" s="1"/>
  <c r="P56" i="67"/>
  <c r="P58" i="67" s="1"/>
  <c r="P51" i="67"/>
  <c r="P53" i="67" s="1"/>
  <c r="M18" i="24"/>
  <c r="M35" i="24" s="1"/>
  <c r="D8" i="35" s="1"/>
  <c r="M19" i="24"/>
  <c r="M36" i="24" s="1"/>
  <c r="E8" i="35" s="1"/>
  <c r="N39" i="6"/>
  <c r="O32" i="6"/>
  <c r="O34" i="6"/>
  <c r="N19" i="24" s="1"/>
  <c r="N36" i="24" s="1"/>
  <c r="E9" i="35" s="1"/>
  <c r="R12" i="12"/>
  <c r="Q14" i="12"/>
  <c r="P72" i="67"/>
  <c r="P74" i="67"/>
  <c r="P76" i="67" s="1"/>
  <c r="P78" i="67"/>
  <c r="S22" i="23"/>
  <c r="S23" i="23" s="1"/>
  <c r="N84" i="67"/>
  <c r="O84" i="67"/>
  <c r="U11" i="23"/>
  <c r="P52" i="24"/>
  <c r="P53" i="24" s="1"/>
  <c r="P64" i="67"/>
  <c r="O25" i="24" s="1"/>
  <c r="P62" i="67"/>
  <c r="O24" i="24" s="1"/>
  <c r="N66" i="66"/>
  <c r="P23" i="66"/>
  <c r="P23" i="6"/>
  <c r="O24" i="6"/>
  <c r="O33" i="6" s="1"/>
  <c r="N17" i="24" s="1"/>
  <c r="O35" i="67"/>
  <c r="O77" i="66"/>
  <c r="O78" i="66"/>
  <c r="O28" i="6"/>
  <c r="O37" i="6" s="1"/>
  <c r="N96" i="66"/>
  <c r="M21" i="24" s="1"/>
  <c r="O86" i="66"/>
  <c r="O87" i="66"/>
  <c r="O52" i="66"/>
  <c r="O54" i="66" s="1"/>
  <c r="O57" i="66" s="1"/>
  <c r="O61" i="66"/>
  <c r="O67" i="66" s="1"/>
  <c r="R32" i="25"/>
  <c r="R28" i="25"/>
  <c r="P56" i="25"/>
  <c r="R48" i="25"/>
  <c r="R49" i="25" s="1"/>
  <c r="P26" i="66"/>
  <c r="P27" i="6"/>
  <c r="P60" i="25"/>
  <c r="P40" i="67" s="1"/>
  <c r="T16" i="6"/>
  <c r="Q55" i="25"/>
  <c r="Q34" i="67" s="1"/>
  <c r="Q59" i="25"/>
  <c r="Q38" i="67" s="1"/>
  <c r="Q39" i="67" s="1"/>
  <c r="Q68" i="67" s="1"/>
  <c r="Q70" i="67" s="1"/>
  <c r="S27" i="25"/>
  <c r="S39" i="25" s="1"/>
  <c r="S41" i="25" s="1"/>
  <c r="S42" i="25" s="1"/>
  <c r="S31" i="25"/>
  <c r="S46" i="25" s="1"/>
  <c r="T20" i="25"/>
  <c r="AT38" i="24"/>
  <c r="AT35" i="24"/>
  <c r="AT42" i="24"/>
  <c r="AT40" i="24"/>
  <c r="L38" i="24"/>
  <c r="F7" i="35" s="1"/>
  <c r="R18" i="6"/>
  <c r="R17" i="6"/>
  <c r="P45" i="24"/>
  <c r="K11" i="35" s="1"/>
  <c r="M34" i="24"/>
  <c r="C8" i="35" s="1"/>
  <c r="T12" i="23"/>
  <c r="S21" i="25"/>
  <c r="S22" i="25"/>
  <c r="Q10" i="24"/>
  <c r="R11" i="24"/>
  <c r="M42" i="24"/>
  <c r="I8" i="35" s="1"/>
  <c r="Q13" i="12"/>
  <c r="Q32" i="11"/>
  <c r="Q31" i="11"/>
  <c r="Q35" i="11"/>
  <c r="Q28" i="24" s="1"/>
  <c r="Q18" i="12" l="1"/>
  <c r="Q19" i="12"/>
  <c r="Q21" i="12"/>
  <c r="Q20" i="12"/>
  <c r="O92" i="66"/>
  <c r="O93" i="66"/>
  <c r="P83" i="66"/>
  <c r="P84" i="66"/>
  <c r="P77" i="66"/>
  <c r="P74" i="66"/>
  <c r="P75" i="66"/>
  <c r="T45" i="25"/>
  <c r="T38" i="25"/>
  <c r="Q23" i="12"/>
  <c r="Q27" i="24" s="1"/>
  <c r="N23" i="24"/>
  <c r="O41" i="24"/>
  <c r="H10" i="35" s="1"/>
  <c r="P60" i="67"/>
  <c r="Q51" i="67"/>
  <c r="Q53" i="67" s="1"/>
  <c r="Q46" i="67"/>
  <c r="Q48" i="67" s="1"/>
  <c r="Q56" i="67"/>
  <c r="Q58" i="67" s="1"/>
  <c r="O39" i="6"/>
  <c r="N18" i="24"/>
  <c r="N35" i="24" s="1"/>
  <c r="D9" i="35" s="1"/>
  <c r="P32" i="6"/>
  <c r="P34" i="6"/>
  <c r="S12" i="12"/>
  <c r="R14" i="12"/>
  <c r="T22" i="23"/>
  <c r="T23" i="23" s="1"/>
  <c r="Q74" i="67"/>
  <c r="Q76" i="67" s="1"/>
  <c r="Q72" i="67"/>
  <c r="Q78" i="67"/>
  <c r="Q80" i="67" s="1"/>
  <c r="P80" i="67"/>
  <c r="P82" i="67" s="1"/>
  <c r="V11" i="23"/>
  <c r="Q52" i="24"/>
  <c r="Q53" i="24" s="1"/>
  <c r="P52" i="66"/>
  <c r="P55" i="66" s="1"/>
  <c r="P58" i="66" s="1"/>
  <c r="Q62" i="67"/>
  <c r="P24" i="24" s="1"/>
  <c r="Q64" i="67"/>
  <c r="P25" i="24" s="1"/>
  <c r="P42" i="24" s="1"/>
  <c r="I11" i="35" s="1"/>
  <c r="P78" i="66"/>
  <c r="O55" i="66"/>
  <c r="O58" i="66" s="1"/>
  <c r="O66" i="66"/>
  <c r="P24" i="6"/>
  <c r="P33" i="6" s="1"/>
  <c r="O17" i="24" s="1"/>
  <c r="P35" i="67"/>
  <c r="P86" i="66"/>
  <c r="P87" i="66"/>
  <c r="P28" i="6"/>
  <c r="P37" i="6" s="1"/>
  <c r="O96" i="66"/>
  <c r="N21" i="24" s="1"/>
  <c r="P61" i="66"/>
  <c r="P66" i="66" s="1"/>
  <c r="R59" i="25"/>
  <c r="R38" i="67" s="1"/>
  <c r="R39" i="67" s="1"/>
  <c r="R68" i="67" s="1"/>
  <c r="R70" i="67" s="1"/>
  <c r="S32" i="25"/>
  <c r="Q56" i="25"/>
  <c r="S28" i="25"/>
  <c r="Q26" i="66"/>
  <c r="Q27" i="6"/>
  <c r="Q60" i="25"/>
  <c r="Q40" i="67" s="1"/>
  <c r="Q23" i="66"/>
  <c r="Q23" i="6"/>
  <c r="U16" i="6"/>
  <c r="R55" i="25"/>
  <c r="R34" i="67" s="1"/>
  <c r="S48" i="25"/>
  <c r="T27" i="25"/>
  <c r="T39" i="25" s="1"/>
  <c r="T31" i="25"/>
  <c r="T46" i="25" s="1"/>
  <c r="U20" i="25"/>
  <c r="AT36" i="24"/>
  <c r="N42" i="24"/>
  <c r="I9" i="35" s="1"/>
  <c r="AT45" i="24"/>
  <c r="AT34" i="24"/>
  <c r="N34" i="24"/>
  <c r="C9" i="35" s="1"/>
  <c r="S18" i="6"/>
  <c r="S17" i="6"/>
  <c r="T21" i="25"/>
  <c r="T22" i="25"/>
  <c r="R13" i="12"/>
  <c r="Q45" i="24"/>
  <c r="K12" i="35" s="1"/>
  <c r="U12" i="23"/>
  <c r="R31" i="11"/>
  <c r="R32" i="11"/>
  <c r="R35" i="11"/>
  <c r="R28" i="24" s="1"/>
  <c r="S11" i="24"/>
  <c r="R10" i="24"/>
  <c r="P93" i="66" l="1"/>
  <c r="R21" i="12"/>
  <c r="R19" i="12"/>
  <c r="R18" i="12"/>
  <c r="R20" i="12"/>
  <c r="T41" i="25"/>
  <c r="T42" i="25" s="1"/>
  <c r="P92" i="66"/>
  <c r="Q84" i="66"/>
  <c r="Q83" i="66"/>
  <c r="Q74" i="66"/>
  <c r="Q75" i="66"/>
  <c r="U38" i="25"/>
  <c r="U45" i="25"/>
  <c r="U39" i="25"/>
  <c r="U46" i="25"/>
  <c r="R23" i="12"/>
  <c r="R27" i="24" s="1"/>
  <c r="Q82" i="67"/>
  <c r="O23" i="24"/>
  <c r="P41" i="24"/>
  <c r="H11" i="35" s="1"/>
  <c r="Q60" i="67"/>
  <c r="R56" i="67"/>
  <c r="R58" i="67" s="1"/>
  <c r="R51" i="67"/>
  <c r="R53" i="67" s="1"/>
  <c r="R46" i="67"/>
  <c r="R48" i="67" s="1"/>
  <c r="O18" i="24"/>
  <c r="O35" i="24" s="1"/>
  <c r="D10" i="35" s="1"/>
  <c r="P39" i="6"/>
  <c r="O19" i="24"/>
  <c r="O36" i="24" s="1"/>
  <c r="E10" i="35" s="1"/>
  <c r="Q32" i="6"/>
  <c r="Q34" i="6"/>
  <c r="P19" i="24" s="1"/>
  <c r="P36" i="24" s="1"/>
  <c r="E11" i="35" s="1"/>
  <c r="T12" i="12"/>
  <c r="S14" i="12"/>
  <c r="U22" i="23"/>
  <c r="U23" i="23" s="1"/>
  <c r="P84" i="67"/>
  <c r="Q84" i="67"/>
  <c r="R72" i="67"/>
  <c r="R78" i="67"/>
  <c r="R80" i="67" s="1"/>
  <c r="R74" i="67"/>
  <c r="R76" i="67" s="1"/>
  <c r="P54" i="66"/>
  <c r="P57" i="66" s="1"/>
  <c r="W11" i="23"/>
  <c r="R52" i="24"/>
  <c r="R53" i="24" s="1"/>
  <c r="R62" i="67"/>
  <c r="Q24" i="24" s="1"/>
  <c r="R64" i="67"/>
  <c r="Q25" i="24" s="1"/>
  <c r="Q42" i="24" s="1"/>
  <c r="I12" i="35" s="1"/>
  <c r="Q24" i="6"/>
  <c r="Q33" i="6" s="1"/>
  <c r="P17" i="24" s="1"/>
  <c r="Q35" i="67"/>
  <c r="Q77" i="66"/>
  <c r="Q78" i="66"/>
  <c r="P67" i="66"/>
  <c r="Q28" i="6"/>
  <c r="Q37" i="6" s="1"/>
  <c r="Q86" i="66"/>
  <c r="Q87" i="66"/>
  <c r="R27" i="6"/>
  <c r="R26" i="66"/>
  <c r="P96" i="66"/>
  <c r="O21" i="24" s="1"/>
  <c r="Q52" i="66"/>
  <c r="Q55" i="66" s="1"/>
  <c r="Q58" i="66" s="1"/>
  <c r="Q61" i="66"/>
  <c r="Q66" i="66" s="1"/>
  <c r="T32" i="25"/>
  <c r="R60" i="25"/>
  <c r="R40" i="67" s="1"/>
  <c r="T28" i="25"/>
  <c r="R56" i="25"/>
  <c r="R23" i="66"/>
  <c r="R23" i="6"/>
  <c r="V16" i="6"/>
  <c r="S55" i="25"/>
  <c r="S34" i="67" s="1"/>
  <c r="T48" i="25"/>
  <c r="S49" i="25"/>
  <c r="S59" i="25"/>
  <c r="S38" i="67" s="1"/>
  <c r="S39" i="67" s="1"/>
  <c r="S68" i="67" s="1"/>
  <c r="S70" i="67" s="1"/>
  <c r="U27" i="25"/>
  <c r="U31" i="25"/>
  <c r="V20" i="25"/>
  <c r="N38" i="24"/>
  <c r="F9" i="35" s="1"/>
  <c r="O34" i="24"/>
  <c r="C10" i="35" s="1"/>
  <c r="M38" i="24"/>
  <c r="F8" i="35" s="1"/>
  <c r="T17" i="6"/>
  <c r="T18" i="6"/>
  <c r="T11" i="24"/>
  <c r="S10" i="24"/>
  <c r="S31" i="11"/>
  <c r="S35" i="11"/>
  <c r="S28" i="24" s="1"/>
  <c r="S32" i="11"/>
  <c r="S13" i="12"/>
  <c r="U22" i="25"/>
  <c r="U21" i="25"/>
  <c r="L34" i="24"/>
  <c r="C7" i="35" s="1"/>
  <c r="O42" i="24"/>
  <c r="I10" i="35" s="1"/>
  <c r="V12" i="23"/>
  <c r="R45" i="24"/>
  <c r="K13" i="35" s="1"/>
  <c r="S20" i="12" l="1"/>
  <c r="S19" i="12"/>
  <c r="S21" i="12"/>
  <c r="S18" i="12"/>
  <c r="U41" i="25"/>
  <c r="U42" i="25" s="1"/>
  <c r="Q93" i="66"/>
  <c r="Q92" i="66"/>
  <c r="R61" i="66"/>
  <c r="R67" i="66" s="1"/>
  <c r="R84" i="66"/>
  <c r="R83" i="66"/>
  <c r="R74" i="66"/>
  <c r="R75" i="66"/>
  <c r="V38" i="25"/>
  <c r="V45" i="25"/>
  <c r="V39" i="25"/>
  <c r="V46" i="25"/>
  <c r="P23" i="24"/>
  <c r="R82" i="67"/>
  <c r="Q41" i="24"/>
  <c r="H12" i="35" s="1"/>
  <c r="R60" i="67"/>
  <c r="S46" i="67"/>
  <c r="S48" i="67" s="1"/>
  <c r="S56" i="67"/>
  <c r="S58" i="67" s="1"/>
  <c r="S51" i="67"/>
  <c r="S53" i="67" s="1"/>
  <c r="P18" i="24"/>
  <c r="P35" i="24" s="1"/>
  <c r="D11" i="35" s="1"/>
  <c r="Q39" i="6"/>
  <c r="R32" i="6"/>
  <c r="R34" i="6"/>
  <c r="Q19" i="24" s="1"/>
  <c r="Q36" i="24" s="1"/>
  <c r="E12" i="35" s="1"/>
  <c r="U12" i="12"/>
  <c r="T14" i="12"/>
  <c r="V22" i="23"/>
  <c r="V23" i="23" s="1"/>
  <c r="S72" i="67"/>
  <c r="S74" i="67"/>
  <c r="S76" i="67" s="1"/>
  <c r="S78" i="67"/>
  <c r="S80" i="67" s="1"/>
  <c r="R84" i="67"/>
  <c r="S52" i="24"/>
  <c r="S53" i="24" s="1"/>
  <c r="X11" i="23"/>
  <c r="S62" i="67"/>
  <c r="R24" i="24" s="1"/>
  <c r="S64" i="67"/>
  <c r="R25" i="24" s="1"/>
  <c r="R24" i="6"/>
  <c r="R33" i="6" s="1"/>
  <c r="Q17" i="24" s="1"/>
  <c r="R35" i="67"/>
  <c r="Q54" i="66"/>
  <c r="Q57" i="66" s="1"/>
  <c r="R77" i="66"/>
  <c r="R78" i="66"/>
  <c r="Q67" i="66"/>
  <c r="R87" i="66"/>
  <c r="R86" i="66"/>
  <c r="R28" i="6"/>
  <c r="R37" i="6" s="1"/>
  <c r="Q96" i="66"/>
  <c r="P21" i="24" s="1"/>
  <c r="P38" i="24" s="1"/>
  <c r="F11" i="35" s="1"/>
  <c r="R52" i="66"/>
  <c r="R55" i="66" s="1"/>
  <c r="R58" i="66" s="1"/>
  <c r="S56" i="25"/>
  <c r="U32" i="25"/>
  <c r="S23" i="66"/>
  <c r="S23" i="6"/>
  <c r="U28" i="25"/>
  <c r="S60" i="25"/>
  <c r="S40" i="67" s="1"/>
  <c r="S26" i="66"/>
  <c r="S27" i="6"/>
  <c r="W16" i="6"/>
  <c r="T55" i="25"/>
  <c r="T34" i="67" s="1"/>
  <c r="T49" i="25"/>
  <c r="T59" i="25"/>
  <c r="T38" i="67" s="1"/>
  <c r="T39" i="67" s="1"/>
  <c r="T68" i="67" s="1"/>
  <c r="T70" i="67" s="1"/>
  <c r="U48" i="25"/>
  <c r="V27" i="25"/>
  <c r="V31" i="25"/>
  <c r="W20" i="25"/>
  <c r="U17" i="6"/>
  <c r="U18" i="6"/>
  <c r="V21" i="25"/>
  <c r="V22" i="25"/>
  <c r="S45" i="24"/>
  <c r="K14" i="35" s="1"/>
  <c r="W12" i="23"/>
  <c r="T32" i="11"/>
  <c r="T35" i="11"/>
  <c r="T28" i="24" s="1"/>
  <c r="T31" i="11"/>
  <c r="T13" i="12"/>
  <c r="T10" i="24"/>
  <c r="U11" i="24"/>
  <c r="V41" i="25" l="1"/>
  <c r="V42" i="25" s="1"/>
  <c r="R66" i="66"/>
  <c r="R93" i="66"/>
  <c r="T18" i="12"/>
  <c r="T19" i="12"/>
  <c r="T20" i="12"/>
  <c r="T21" i="12"/>
  <c r="S23" i="12"/>
  <c r="S27" i="24" s="1"/>
  <c r="R92" i="66"/>
  <c r="S84" i="66"/>
  <c r="S83" i="66"/>
  <c r="S74" i="66"/>
  <c r="S75" i="66"/>
  <c r="W38" i="25"/>
  <c r="W45" i="25"/>
  <c r="W46" i="25"/>
  <c r="W39" i="25"/>
  <c r="Q23" i="24"/>
  <c r="S82" i="67"/>
  <c r="R41" i="24"/>
  <c r="H13" i="35" s="1"/>
  <c r="S60" i="67"/>
  <c r="T46" i="67"/>
  <c r="T48" i="67" s="1"/>
  <c r="T56" i="67"/>
  <c r="T58" i="67" s="1"/>
  <c r="T51" i="67"/>
  <c r="T53" i="67" s="1"/>
  <c r="Q18" i="24"/>
  <c r="Q35" i="24" s="1"/>
  <c r="D12" i="35" s="1"/>
  <c r="V48" i="25"/>
  <c r="R39" i="6"/>
  <c r="S32" i="6"/>
  <c r="S34" i="6"/>
  <c r="V12" i="12"/>
  <c r="U14" i="12"/>
  <c r="W22" i="23"/>
  <c r="W23" i="23" s="1"/>
  <c r="T78" i="67"/>
  <c r="T80" i="67" s="1"/>
  <c r="T72" i="67"/>
  <c r="T74" i="67"/>
  <c r="T76" i="67" s="1"/>
  <c r="S84" i="67"/>
  <c r="Y11" i="23"/>
  <c r="T52" i="24"/>
  <c r="T53" i="24" s="1"/>
  <c r="T62" i="67"/>
  <c r="S24" i="24" s="1"/>
  <c r="T64" i="67"/>
  <c r="S25" i="24" s="1"/>
  <c r="R54" i="66"/>
  <c r="R57" i="66" s="1"/>
  <c r="S24" i="6"/>
  <c r="S33" i="6" s="1"/>
  <c r="R17" i="24" s="1"/>
  <c r="S35" i="67"/>
  <c r="S77" i="66"/>
  <c r="S78" i="66"/>
  <c r="R96" i="66"/>
  <c r="Q21" i="24" s="1"/>
  <c r="S87" i="66"/>
  <c r="S86" i="66"/>
  <c r="S28" i="6"/>
  <c r="S37" i="6" s="1"/>
  <c r="S52" i="66"/>
  <c r="S55" i="66" s="1"/>
  <c r="S58" i="66" s="1"/>
  <c r="S61" i="66"/>
  <c r="S67" i="66" s="1"/>
  <c r="V32" i="25"/>
  <c r="V28" i="25"/>
  <c r="T23" i="66"/>
  <c r="T23" i="6"/>
  <c r="T56" i="25"/>
  <c r="T26" i="66"/>
  <c r="T27" i="6"/>
  <c r="T60" i="25"/>
  <c r="T40" i="67" s="1"/>
  <c r="X16" i="6"/>
  <c r="U55" i="25"/>
  <c r="U34" i="67" s="1"/>
  <c r="U49" i="25"/>
  <c r="U59" i="25"/>
  <c r="U38" i="67" s="1"/>
  <c r="U39" i="67" s="1"/>
  <c r="U68" i="67" s="1"/>
  <c r="U70" i="67" s="1"/>
  <c r="W27" i="25"/>
  <c r="W31" i="25"/>
  <c r="X20" i="25"/>
  <c r="O38" i="24"/>
  <c r="F10" i="35" s="1"/>
  <c r="Q34" i="24"/>
  <c r="C12" i="35" s="1"/>
  <c r="V17" i="6"/>
  <c r="V18" i="6"/>
  <c r="R42" i="24"/>
  <c r="I13" i="35" s="1"/>
  <c r="T45" i="24"/>
  <c r="K15" i="35" s="1"/>
  <c r="U32" i="11"/>
  <c r="U35" i="11"/>
  <c r="U28" i="24" s="1"/>
  <c r="U31" i="11"/>
  <c r="U10" i="24"/>
  <c r="V11" i="24"/>
  <c r="P34" i="24"/>
  <c r="C11" i="35" s="1"/>
  <c r="U13" i="12"/>
  <c r="X12" i="23"/>
  <c r="W22" i="25"/>
  <c r="W21" i="25"/>
  <c r="T23" i="12" l="1"/>
  <c r="T27" i="24" s="1"/>
  <c r="U21" i="12"/>
  <c r="U19" i="12"/>
  <c r="U18" i="12"/>
  <c r="U20" i="12"/>
  <c r="S92" i="66"/>
  <c r="S93" i="66"/>
  <c r="T84" i="66"/>
  <c r="T83" i="66"/>
  <c r="T74" i="66"/>
  <c r="T75" i="66"/>
  <c r="W41" i="25"/>
  <c r="W42" i="25" s="1"/>
  <c r="X38" i="25"/>
  <c r="X45" i="25"/>
  <c r="X46" i="25"/>
  <c r="X39" i="25"/>
  <c r="R23" i="24"/>
  <c r="T82" i="67"/>
  <c r="S41" i="24"/>
  <c r="H14" i="35" s="1"/>
  <c r="T60" i="67"/>
  <c r="U51" i="67"/>
  <c r="U53" i="67" s="1"/>
  <c r="U56" i="67"/>
  <c r="U58" i="67" s="1"/>
  <c r="U46" i="67"/>
  <c r="U48" i="67" s="1"/>
  <c r="R18" i="24"/>
  <c r="R35" i="24" s="1"/>
  <c r="D13" i="35" s="1"/>
  <c r="S39" i="6"/>
  <c r="T32" i="6"/>
  <c r="T34" i="6"/>
  <c r="S19" i="24" s="1"/>
  <c r="S36" i="24" s="1"/>
  <c r="E14" i="35" s="1"/>
  <c r="R19" i="24"/>
  <c r="R36" i="24" s="1"/>
  <c r="E13" i="35" s="1"/>
  <c r="W12" i="12"/>
  <c r="V14" i="12"/>
  <c r="U52" i="24"/>
  <c r="U53" i="24" s="1"/>
  <c r="U74" i="67"/>
  <c r="U76" i="67" s="1"/>
  <c r="U78" i="67"/>
  <c r="U80" i="67" s="1"/>
  <c r="U72" i="67"/>
  <c r="X22" i="23"/>
  <c r="X23" i="23" s="1"/>
  <c r="T84" i="67"/>
  <c r="Z11" i="23"/>
  <c r="U64" i="67"/>
  <c r="T25" i="24" s="1"/>
  <c r="U62" i="67"/>
  <c r="T24" i="24" s="1"/>
  <c r="S66" i="66"/>
  <c r="S54" i="66"/>
  <c r="S57" i="66" s="1"/>
  <c r="T77" i="66"/>
  <c r="T78" i="66"/>
  <c r="T24" i="6"/>
  <c r="T33" i="6" s="1"/>
  <c r="S17" i="24" s="1"/>
  <c r="S34" i="24" s="1"/>
  <c r="C14" i="35" s="1"/>
  <c r="T35" i="67"/>
  <c r="S96" i="66"/>
  <c r="R21" i="24" s="1"/>
  <c r="R38" i="24" s="1"/>
  <c r="F13" i="35" s="1"/>
  <c r="T28" i="6"/>
  <c r="T37" i="6" s="1"/>
  <c r="T86" i="66"/>
  <c r="T87" i="66"/>
  <c r="T52" i="66"/>
  <c r="T54" i="66" s="1"/>
  <c r="T57" i="66" s="1"/>
  <c r="T61" i="66"/>
  <c r="T66" i="66" s="1"/>
  <c r="V59" i="25"/>
  <c r="V38" i="67" s="1"/>
  <c r="V39" i="67" s="1"/>
  <c r="V68" i="67" s="1"/>
  <c r="V70" i="67" s="1"/>
  <c r="V49" i="25"/>
  <c r="V60" i="25" s="1"/>
  <c r="V40" i="67" s="1"/>
  <c r="W32" i="25"/>
  <c r="W28" i="25"/>
  <c r="U26" i="66"/>
  <c r="U27" i="6"/>
  <c r="U60" i="25"/>
  <c r="U40" i="67" s="1"/>
  <c r="U23" i="66"/>
  <c r="U23" i="6"/>
  <c r="U56" i="25"/>
  <c r="Y16" i="6"/>
  <c r="V55" i="25"/>
  <c r="V34" i="67" s="1"/>
  <c r="W48" i="25"/>
  <c r="X27" i="25"/>
  <c r="X31" i="25"/>
  <c r="Y20" i="25"/>
  <c r="S42" i="24"/>
  <c r="I14" i="35" s="1"/>
  <c r="W18" i="6"/>
  <c r="W17" i="6"/>
  <c r="Y12" i="23"/>
  <c r="U45" i="24"/>
  <c r="K16" i="35" s="1"/>
  <c r="V31" i="11"/>
  <c r="V32" i="11"/>
  <c r="V35" i="11"/>
  <c r="V28" i="24" s="1"/>
  <c r="X22" i="25"/>
  <c r="X21" i="25"/>
  <c r="V13" i="12"/>
  <c r="R34" i="24"/>
  <c r="C13" i="35" s="1"/>
  <c r="W11" i="24"/>
  <c r="V10" i="24"/>
  <c r="U23" i="12" l="1"/>
  <c r="U27" i="24" s="1"/>
  <c r="T93" i="66"/>
  <c r="V20" i="12"/>
  <c r="V21" i="12"/>
  <c r="V19" i="12"/>
  <c r="V18" i="12"/>
  <c r="V23" i="12" s="1"/>
  <c r="V27" i="24" s="1"/>
  <c r="X41" i="25"/>
  <c r="X42" i="25" s="1"/>
  <c r="T92" i="66"/>
  <c r="U84" i="66"/>
  <c r="U83" i="66"/>
  <c r="U74" i="66"/>
  <c r="U75" i="66"/>
  <c r="Y38" i="25"/>
  <c r="Y45" i="25"/>
  <c r="Y39" i="25"/>
  <c r="Y46" i="25"/>
  <c r="S23" i="24"/>
  <c r="U82" i="67"/>
  <c r="T41" i="24"/>
  <c r="H15" i="35" s="1"/>
  <c r="U60" i="67"/>
  <c r="V51" i="67"/>
  <c r="V53" i="67" s="1"/>
  <c r="V46" i="67"/>
  <c r="V48" i="67" s="1"/>
  <c r="V56" i="67"/>
  <c r="V58" i="67" s="1"/>
  <c r="S18" i="24"/>
  <c r="S35" i="24" s="1"/>
  <c r="D14" i="35" s="1"/>
  <c r="T39" i="6"/>
  <c r="U32" i="6"/>
  <c r="U34" i="6"/>
  <c r="X12" i="12"/>
  <c r="W14" i="12"/>
  <c r="V74" i="67"/>
  <c r="V76" i="67" s="1"/>
  <c r="V78" i="67"/>
  <c r="V80" i="67" s="1"/>
  <c r="V72" i="67"/>
  <c r="Y22" i="23"/>
  <c r="Y23" i="23" s="1"/>
  <c r="U84" i="67"/>
  <c r="AA11" i="23"/>
  <c r="V52" i="24"/>
  <c r="V53" i="24" s="1"/>
  <c r="V62" i="67"/>
  <c r="U24" i="24" s="1"/>
  <c r="V64" i="67"/>
  <c r="U25" i="24" s="1"/>
  <c r="T55" i="66"/>
  <c r="T58" i="66" s="1"/>
  <c r="T67" i="66"/>
  <c r="U77" i="66"/>
  <c r="U78" i="66"/>
  <c r="U24" i="6"/>
  <c r="U33" i="6" s="1"/>
  <c r="T17" i="24" s="1"/>
  <c r="U35" i="67"/>
  <c r="V28" i="6"/>
  <c r="V37" i="6" s="1"/>
  <c r="V27" i="6"/>
  <c r="U28" i="6"/>
  <c r="U37" i="6" s="1"/>
  <c r="V26" i="66"/>
  <c r="T96" i="66"/>
  <c r="S21" i="24" s="1"/>
  <c r="S38" i="24" s="1"/>
  <c r="F14" i="35" s="1"/>
  <c r="U87" i="66"/>
  <c r="U86" i="66"/>
  <c r="U52" i="66"/>
  <c r="U54" i="66" s="1"/>
  <c r="U57" i="66" s="1"/>
  <c r="U61" i="66"/>
  <c r="U67" i="66" s="1"/>
  <c r="X28" i="25"/>
  <c r="V23" i="66"/>
  <c r="V23" i="6"/>
  <c r="X32" i="25"/>
  <c r="V56" i="25"/>
  <c r="Z16" i="6"/>
  <c r="W55" i="25"/>
  <c r="W34" i="67" s="1"/>
  <c r="W49" i="25"/>
  <c r="W59" i="25"/>
  <c r="W38" i="67" s="1"/>
  <c r="W39" i="67" s="1"/>
  <c r="W68" i="67" s="1"/>
  <c r="W70" i="67" s="1"/>
  <c r="X48" i="25"/>
  <c r="Y27" i="25"/>
  <c r="Y31" i="25"/>
  <c r="Z20" i="25"/>
  <c r="T42" i="24"/>
  <c r="I15" i="35" s="1"/>
  <c r="Q38" i="24"/>
  <c r="F12" i="35" s="1"/>
  <c r="X17" i="6"/>
  <c r="X18" i="6"/>
  <c r="Y21" i="25"/>
  <c r="Y22" i="25"/>
  <c r="Z12" i="23"/>
  <c r="W13" i="12"/>
  <c r="W31" i="11"/>
  <c r="W35" i="11"/>
  <c r="W28" i="24" s="1"/>
  <c r="W32" i="11"/>
  <c r="V45" i="24"/>
  <c r="K17" i="35" s="1"/>
  <c r="X11" i="24"/>
  <c r="W10" i="24"/>
  <c r="U93" i="66" l="1"/>
  <c r="W18" i="12"/>
  <c r="W20" i="12"/>
  <c r="W19" i="12"/>
  <c r="W21" i="12"/>
  <c r="U92" i="66"/>
  <c r="V61" i="66"/>
  <c r="V66" i="66" s="1"/>
  <c r="V83" i="66"/>
  <c r="V84" i="66"/>
  <c r="V74" i="66"/>
  <c r="V75" i="66"/>
  <c r="Y41" i="25"/>
  <c r="Y42" i="25" s="1"/>
  <c r="Z38" i="25"/>
  <c r="Z45" i="25"/>
  <c r="Z39" i="25"/>
  <c r="Z46" i="25"/>
  <c r="T23" i="24"/>
  <c r="V82" i="67"/>
  <c r="U41" i="24"/>
  <c r="H16" i="35" s="1"/>
  <c r="V60" i="67"/>
  <c r="W46" i="67"/>
  <c r="W48" i="67" s="1"/>
  <c r="W51" i="67"/>
  <c r="W53" i="67" s="1"/>
  <c r="W56" i="67"/>
  <c r="W58" i="67" s="1"/>
  <c r="T18" i="24"/>
  <c r="T35" i="24" s="1"/>
  <c r="D15" i="35" s="1"/>
  <c r="U39" i="6"/>
  <c r="T19" i="24"/>
  <c r="T36" i="24" s="1"/>
  <c r="E15" i="35" s="1"/>
  <c r="V32" i="6"/>
  <c r="U18" i="24" s="1"/>
  <c r="U35" i="24" s="1"/>
  <c r="D16" i="35" s="1"/>
  <c r="V34" i="6"/>
  <c r="U19" i="24" s="1"/>
  <c r="U36" i="24" s="1"/>
  <c r="E16" i="35" s="1"/>
  <c r="Y12" i="12"/>
  <c r="X14" i="12"/>
  <c r="Z22" i="23"/>
  <c r="Z23" i="23" s="1"/>
  <c r="W78" i="67"/>
  <c r="W80" i="67" s="1"/>
  <c r="W74" i="67"/>
  <c r="W76" i="67" s="1"/>
  <c r="W72" i="67"/>
  <c r="V84" i="67"/>
  <c r="W52" i="24"/>
  <c r="W53" i="24" s="1"/>
  <c r="AB11" i="23"/>
  <c r="W64" i="67"/>
  <c r="V25" i="24" s="1"/>
  <c r="W62" i="67"/>
  <c r="V24" i="24" s="1"/>
  <c r="V24" i="6"/>
  <c r="V33" i="6" s="1"/>
  <c r="U17" i="24" s="1"/>
  <c r="V35" i="67"/>
  <c r="U55" i="66"/>
  <c r="U58" i="66" s="1"/>
  <c r="V78" i="66"/>
  <c r="V77" i="66"/>
  <c r="U96" i="66"/>
  <c r="T21" i="24" s="1"/>
  <c r="T38" i="24" s="1"/>
  <c r="F15" i="35" s="1"/>
  <c r="V86" i="66"/>
  <c r="V87" i="66"/>
  <c r="U66" i="66"/>
  <c r="V52" i="66"/>
  <c r="V55" i="66" s="1"/>
  <c r="V58" i="66" s="1"/>
  <c r="W26" i="66"/>
  <c r="W27" i="6"/>
  <c r="W60" i="25"/>
  <c r="W40" i="67" s="1"/>
  <c r="W23" i="66"/>
  <c r="W23" i="6"/>
  <c r="Y32" i="25"/>
  <c r="Y28" i="25"/>
  <c r="W56" i="25"/>
  <c r="AA16" i="6"/>
  <c r="Y48" i="25"/>
  <c r="X55" i="25"/>
  <c r="X34" i="67" s="1"/>
  <c r="X49" i="25"/>
  <c r="X59" i="25"/>
  <c r="X38" i="67" s="1"/>
  <c r="X39" i="67" s="1"/>
  <c r="Z27" i="25"/>
  <c r="Z31" i="25"/>
  <c r="AA20" i="25"/>
  <c r="Y18" i="6"/>
  <c r="Y17" i="6"/>
  <c r="X13" i="12"/>
  <c r="AA12" i="23"/>
  <c r="W45" i="24"/>
  <c r="K18" i="35" s="1"/>
  <c r="Z22" i="25"/>
  <c r="Z21" i="25"/>
  <c r="X32" i="11"/>
  <c r="X35" i="11"/>
  <c r="X28" i="24" s="1"/>
  <c r="X31" i="11"/>
  <c r="U42" i="24"/>
  <c r="I16" i="35" s="1"/>
  <c r="T34" i="24"/>
  <c r="C15" i="35" s="1"/>
  <c r="X10" i="24"/>
  <c r="Y11" i="24"/>
  <c r="V67" i="66" l="1"/>
  <c r="V93" i="66"/>
  <c r="W23" i="12"/>
  <c r="W27" i="24" s="1"/>
  <c r="V92" i="66"/>
  <c r="X20" i="12"/>
  <c r="X21" i="12"/>
  <c r="X18" i="12"/>
  <c r="X19" i="12"/>
  <c r="Z41" i="25"/>
  <c r="Z42" i="25" s="1"/>
  <c r="W84" i="66"/>
  <c r="W83" i="66"/>
  <c r="W75" i="66"/>
  <c r="W74" i="66"/>
  <c r="AA38" i="25"/>
  <c r="AA45" i="25"/>
  <c r="AA46" i="25"/>
  <c r="AA39" i="25"/>
  <c r="U23" i="24"/>
  <c r="W82" i="67"/>
  <c r="V41" i="24"/>
  <c r="H17" i="35" s="1"/>
  <c r="W60" i="67"/>
  <c r="X46" i="67"/>
  <c r="X48" i="67" s="1"/>
  <c r="X51" i="67"/>
  <c r="X53" i="67" s="1"/>
  <c r="X56" i="67"/>
  <c r="X58" i="67" s="1"/>
  <c r="V39" i="6"/>
  <c r="W32" i="6"/>
  <c r="W34" i="6"/>
  <c r="V19" i="24" s="1"/>
  <c r="V36" i="24" s="1"/>
  <c r="E17" i="35" s="1"/>
  <c r="Z12" i="12"/>
  <c r="Y14" i="12"/>
  <c r="X68" i="67"/>
  <c r="X70" i="67" s="1"/>
  <c r="AA22" i="23"/>
  <c r="AA23" i="23" s="1"/>
  <c r="W84" i="67"/>
  <c r="AC11" i="23"/>
  <c r="X52" i="24"/>
  <c r="X53" i="24" s="1"/>
  <c r="X64" i="67"/>
  <c r="W25" i="24" s="1"/>
  <c r="W42" i="24" s="1"/>
  <c r="I18" i="35" s="1"/>
  <c r="X62" i="67"/>
  <c r="W24" i="24" s="1"/>
  <c r="V54" i="66"/>
  <c r="V57" i="66" s="1"/>
  <c r="W78" i="66"/>
  <c r="W77" i="66"/>
  <c r="W24" i="6"/>
  <c r="W33" i="6" s="1"/>
  <c r="V17" i="24" s="1"/>
  <c r="W35" i="67"/>
  <c r="W28" i="6"/>
  <c r="W37" i="6" s="1"/>
  <c r="W86" i="66"/>
  <c r="W87" i="66"/>
  <c r="V96" i="66"/>
  <c r="U21" i="24" s="1"/>
  <c r="U38" i="24" s="1"/>
  <c r="F16" i="35" s="1"/>
  <c r="W52" i="66"/>
  <c r="W54" i="66" s="1"/>
  <c r="W57" i="66" s="1"/>
  <c r="W61" i="66"/>
  <c r="W67" i="66" s="1"/>
  <c r="X56" i="25"/>
  <c r="Z32" i="25"/>
  <c r="Z28" i="25"/>
  <c r="X26" i="66"/>
  <c r="X27" i="6"/>
  <c r="X60" i="25"/>
  <c r="X40" i="67" s="1"/>
  <c r="Y59" i="25"/>
  <c r="Y38" i="67" s="1"/>
  <c r="Y39" i="67" s="1"/>
  <c r="Y68" i="67" s="1"/>
  <c r="Y70" i="67" s="1"/>
  <c r="Y49" i="25"/>
  <c r="X23" i="66"/>
  <c r="X23" i="6"/>
  <c r="AB16" i="6"/>
  <c r="Z48" i="25"/>
  <c r="Y55" i="25"/>
  <c r="Y34" i="67" s="1"/>
  <c r="AA27" i="25"/>
  <c r="AA31" i="25"/>
  <c r="AB20" i="25"/>
  <c r="Z18" i="6"/>
  <c r="Z17" i="6"/>
  <c r="Y32" i="11"/>
  <c r="Y35" i="11"/>
  <c r="Y28" i="24" s="1"/>
  <c r="Y31" i="11"/>
  <c r="Z11" i="24"/>
  <c r="Y10" i="24"/>
  <c r="U34" i="24"/>
  <c r="C16" i="35" s="1"/>
  <c r="AB12" i="23"/>
  <c r="X45" i="24"/>
  <c r="K19" i="35" s="1"/>
  <c r="V42" i="24"/>
  <c r="I17" i="35" s="1"/>
  <c r="AA21" i="25"/>
  <c r="AA22" i="25"/>
  <c r="Y13" i="12"/>
  <c r="X23" i="12" l="1"/>
  <c r="X27" i="24" s="1"/>
  <c r="Y19" i="12"/>
  <c r="Y21" i="12"/>
  <c r="Y18" i="12"/>
  <c r="Y20" i="12"/>
  <c r="AA41" i="25"/>
  <c r="AA42" i="25" s="1"/>
  <c r="W92" i="66"/>
  <c r="W93" i="66"/>
  <c r="X83" i="66"/>
  <c r="X84" i="66"/>
  <c r="X75" i="66"/>
  <c r="X74" i="66"/>
  <c r="AB38" i="25"/>
  <c r="AB45" i="25"/>
  <c r="AB39" i="25"/>
  <c r="AB46" i="25"/>
  <c r="V23" i="24"/>
  <c r="W41" i="24"/>
  <c r="H18" i="35" s="1"/>
  <c r="X60" i="67"/>
  <c r="Y56" i="67"/>
  <c r="Y58" i="67" s="1"/>
  <c r="Y46" i="67"/>
  <c r="Y48" i="67" s="1"/>
  <c r="Y51" i="67"/>
  <c r="Y53" i="67" s="1"/>
  <c r="V18" i="24"/>
  <c r="V35" i="24" s="1"/>
  <c r="D17" i="35" s="1"/>
  <c r="X32" i="6"/>
  <c r="X34" i="6"/>
  <c r="W19" i="24" s="1"/>
  <c r="W36" i="24" s="1"/>
  <c r="E18" i="35" s="1"/>
  <c r="W39" i="6"/>
  <c r="AA12" i="12"/>
  <c r="Z14" i="12"/>
  <c r="Y72" i="67"/>
  <c r="Y74" i="67"/>
  <c r="Y76" i="67" s="1"/>
  <c r="Y78" i="67"/>
  <c r="Y80" i="67" s="1"/>
  <c r="X78" i="67"/>
  <c r="X80" i="67" s="1"/>
  <c r="X72" i="67"/>
  <c r="AB22" i="23"/>
  <c r="AB23" i="23" s="1"/>
  <c r="X74" i="67"/>
  <c r="X76" i="67" s="1"/>
  <c r="AD11" i="23"/>
  <c r="Y52" i="24"/>
  <c r="Y53" i="24" s="1"/>
  <c r="Y64" i="67"/>
  <c r="X25" i="24" s="1"/>
  <c r="Y62" i="67"/>
  <c r="X24" i="24" s="1"/>
  <c r="W66" i="66"/>
  <c r="W55" i="66"/>
  <c r="W58" i="66" s="1"/>
  <c r="X24" i="6"/>
  <c r="X33" i="6" s="1"/>
  <c r="W17" i="24" s="1"/>
  <c r="X35" i="67"/>
  <c r="X77" i="66"/>
  <c r="X78" i="66"/>
  <c r="W96" i="66"/>
  <c r="V21" i="24" s="1"/>
  <c r="V38" i="24" s="1"/>
  <c r="F17" i="35" s="1"/>
  <c r="X28" i="6"/>
  <c r="X37" i="6" s="1"/>
  <c r="X86" i="66"/>
  <c r="X87" i="66"/>
  <c r="X52" i="66"/>
  <c r="X54" i="66" s="1"/>
  <c r="X57" i="66" s="1"/>
  <c r="X61" i="66"/>
  <c r="X66" i="66" s="1"/>
  <c r="Y60" i="25"/>
  <c r="Y40" i="67" s="1"/>
  <c r="Y26" i="66"/>
  <c r="Y27" i="6"/>
  <c r="AA32" i="25"/>
  <c r="AA28" i="25"/>
  <c r="Y23" i="66"/>
  <c r="Y23" i="6"/>
  <c r="Y56" i="25"/>
  <c r="AC16" i="6"/>
  <c r="Z55" i="25"/>
  <c r="Z34" i="67" s="1"/>
  <c r="Z49" i="25"/>
  <c r="Z59" i="25"/>
  <c r="Z38" i="67" s="1"/>
  <c r="Z39" i="67" s="1"/>
  <c r="Z68" i="67" s="1"/>
  <c r="Z70" i="67" s="1"/>
  <c r="AA48" i="25"/>
  <c r="AB27" i="25"/>
  <c r="AB31" i="25"/>
  <c r="AC20" i="25"/>
  <c r="AA17" i="6"/>
  <c r="AA18" i="6"/>
  <c r="AC12" i="23"/>
  <c r="Z32" i="11"/>
  <c r="Z35" i="11"/>
  <c r="Z28" i="24" s="1"/>
  <c r="Z31" i="11"/>
  <c r="Y45" i="24"/>
  <c r="K20" i="35" s="1"/>
  <c r="AA11" i="24"/>
  <c r="Z10" i="24"/>
  <c r="Z13" i="12"/>
  <c r="AB21" i="25"/>
  <c r="AB22" i="25"/>
  <c r="V34" i="24"/>
  <c r="C17" i="35" s="1"/>
  <c r="Y23" i="12" l="1"/>
  <c r="Y27" i="24" s="1"/>
  <c r="Z19" i="12"/>
  <c r="Z21" i="12"/>
  <c r="Z18" i="12"/>
  <c r="Z20" i="12"/>
  <c r="AB41" i="25"/>
  <c r="AB42" i="25" s="1"/>
  <c r="X92" i="66"/>
  <c r="X93" i="66"/>
  <c r="Y83" i="66"/>
  <c r="Y84" i="66"/>
  <c r="Y75" i="66"/>
  <c r="Y74" i="66"/>
  <c r="Y92" i="66" s="1"/>
  <c r="AC38" i="25"/>
  <c r="AC45" i="25"/>
  <c r="AC46" i="25"/>
  <c r="AC39" i="25"/>
  <c r="W18" i="24"/>
  <c r="W35" i="24" s="1"/>
  <c r="D18" i="35" s="1"/>
  <c r="Y82" i="67"/>
  <c r="X82" i="67"/>
  <c r="W23" i="24" s="1"/>
  <c r="X41" i="24"/>
  <c r="H19" i="35" s="1"/>
  <c r="Y60" i="67"/>
  <c r="Z46" i="67"/>
  <c r="Z48" i="67" s="1"/>
  <c r="Z51" i="67"/>
  <c r="Z53" i="67" s="1"/>
  <c r="Z56" i="67"/>
  <c r="Z58" i="67" s="1"/>
  <c r="X39" i="6"/>
  <c r="Y32" i="6"/>
  <c r="Y34" i="6"/>
  <c r="X19" i="24" s="1"/>
  <c r="X36" i="24" s="1"/>
  <c r="E19" i="35" s="1"/>
  <c r="AB12" i="12"/>
  <c r="AA14" i="12"/>
  <c r="Z78" i="67"/>
  <c r="Z80" i="67" s="1"/>
  <c r="Z72" i="67"/>
  <c r="Z74" i="67"/>
  <c r="Z76" i="67" s="1"/>
  <c r="AC22" i="23"/>
  <c r="AC23" i="23" s="1"/>
  <c r="X84" i="67"/>
  <c r="Y84" i="67"/>
  <c r="Z52" i="24"/>
  <c r="Z53" i="24" s="1"/>
  <c r="AE11" i="23"/>
  <c r="Z62" i="67"/>
  <c r="Y24" i="24" s="1"/>
  <c r="Z64" i="67"/>
  <c r="Y25" i="24" s="1"/>
  <c r="Y42" i="24" s="1"/>
  <c r="I20" i="35" s="1"/>
  <c r="X55" i="66"/>
  <c r="X58" i="66" s="1"/>
  <c r="X67" i="66"/>
  <c r="Y24" i="6"/>
  <c r="Y33" i="6" s="1"/>
  <c r="X17" i="24" s="1"/>
  <c r="X34" i="24" s="1"/>
  <c r="C19" i="35" s="1"/>
  <c r="Y35" i="67"/>
  <c r="Y78" i="66"/>
  <c r="Y77" i="66"/>
  <c r="Y87" i="66"/>
  <c r="Y86" i="66"/>
  <c r="X96" i="66"/>
  <c r="W21" i="24" s="1"/>
  <c r="W38" i="24" s="1"/>
  <c r="F18" i="35" s="1"/>
  <c r="Y28" i="6"/>
  <c r="Y37" i="6" s="1"/>
  <c r="Y61" i="66"/>
  <c r="Y66" i="66" s="1"/>
  <c r="Y52" i="66"/>
  <c r="Y55" i="66" s="1"/>
  <c r="Y58" i="66" s="1"/>
  <c r="Z23" i="66"/>
  <c r="Z23" i="6"/>
  <c r="AB32" i="25"/>
  <c r="AB28" i="25"/>
  <c r="Z56" i="25"/>
  <c r="Z26" i="66"/>
  <c r="Z27" i="6"/>
  <c r="Z60" i="25"/>
  <c r="Z40" i="67" s="1"/>
  <c r="AD16" i="6"/>
  <c r="AA49" i="25"/>
  <c r="AA59" i="25"/>
  <c r="AA38" i="67" s="1"/>
  <c r="AA39" i="67" s="1"/>
  <c r="AA68" i="67" s="1"/>
  <c r="AA70" i="67" s="1"/>
  <c r="AA55" i="25"/>
  <c r="AA34" i="67" s="1"/>
  <c r="AB48" i="25"/>
  <c r="AC27" i="25"/>
  <c r="AC31" i="25"/>
  <c r="AD20" i="25"/>
  <c r="AB18" i="6"/>
  <c r="AB17" i="6"/>
  <c r="X42" i="24"/>
  <c r="I19" i="35" s="1"/>
  <c r="W34" i="24"/>
  <c r="C18" i="35" s="1"/>
  <c r="AC21" i="25"/>
  <c r="AC22" i="25"/>
  <c r="AD12" i="23"/>
  <c r="AA13" i="12"/>
  <c r="AB11" i="24"/>
  <c r="AA10" i="24"/>
  <c r="AA32" i="11"/>
  <c r="AA35" i="11"/>
  <c r="AA28" i="24" s="1"/>
  <c r="AA31" i="11"/>
  <c r="Z45" i="24"/>
  <c r="K21" i="35" s="1"/>
  <c r="Z23" i="12" l="1"/>
  <c r="Z27" i="24" s="1"/>
  <c r="AC41" i="25"/>
  <c r="AC42" i="25" s="1"/>
  <c r="AA18" i="12"/>
  <c r="AA19" i="12"/>
  <c r="AA20" i="12"/>
  <c r="AA21" i="12"/>
  <c r="Y93" i="66"/>
  <c r="Z84" i="66"/>
  <c r="Z83" i="66"/>
  <c r="Z75" i="66"/>
  <c r="Z74" i="66"/>
  <c r="AD38" i="25"/>
  <c r="AD45" i="25"/>
  <c r="AD39" i="25"/>
  <c r="AD46" i="25"/>
  <c r="X23" i="24"/>
  <c r="Z82" i="67"/>
  <c r="Y41" i="24"/>
  <c r="H20" i="35" s="1"/>
  <c r="Z60" i="67"/>
  <c r="AA56" i="67"/>
  <c r="AA58" i="67" s="1"/>
  <c r="AA46" i="67"/>
  <c r="AA48" i="67" s="1"/>
  <c r="AA51" i="67"/>
  <c r="AA53" i="67" s="1"/>
  <c r="Y39" i="6"/>
  <c r="Z32" i="6"/>
  <c r="Z34" i="6"/>
  <c r="Y19" i="24" s="1"/>
  <c r="Y36" i="24" s="1"/>
  <c r="E20" i="35" s="1"/>
  <c r="X18" i="24"/>
  <c r="X35" i="24" s="1"/>
  <c r="D19" i="35" s="1"/>
  <c r="AC12" i="12"/>
  <c r="AB14" i="12"/>
  <c r="AD22" i="23"/>
  <c r="AD23" i="23" s="1"/>
  <c r="AA78" i="67"/>
  <c r="AA80" i="67" s="1"/>
  <c r="AA74" i="67"/>
  <c r="AA76" i="67" s="1"/>
  <c r="AA72" i="67"/>
  <c r="Z84" i="67"/>
  <c r="AF11" i="23"/>
  <c r="AA52" i="24"/>
  <c r="AA53" i="24" s="1"/>
  <c r="AA64" i="67"/>
  <c r="Z25" i="24" s="1"/>
  <c r="Z42" i="24" s="1"/>
  <c r="I21" i="35" s="1"/>
  <c r="AA62" i="67"/>
  <c r="Z24" i="24" s="1"/>
  <c r="Y67" i="66"/>
  <c r="Y54" i="66"/>
  <c r="Y57" i="66" s="1"/>
  <c r="Z78" i="66"/>
  <c r="Z77" i="66"/>
  <c r="Z24" i="6"/>
  <c r="Z33" i="6" s="1"/>
  <c r="Y17" i="24" s="1"/>
  <c r="Y34" i="24" s="1"/>
  <c r="C20" i="35" s="1"/>
  <c r="Z35" i="67"/>
  <c r="Y96" i="66"/>
  <c r="X21" i="24" s="1"/>
  <c r="X38" i="24" s="1"/>
  <c r="F19" i="35" s="1"/>
  <c r="Z28" i="6"/>
  <c r="Z37" i="6" s="1"/>
  <c r="Z87" i="66"/>
  <c r="Z86" i="66"/>
  <c r="Z61" i="66"/>
  <c r="Z66" i="66" s="1"/>
  <c r="Z52" i="66"/>
  <c r="Z55" i="66" s="1"/>
  <c r="Z58" i="66" s="1"/>
  <c r="AA60" i="25"/>
  <c r="AA40" i="67" s="1"/>
  <c r="AA26" i="66"/>
  <c r="AA27" i="6"/>
  <c r="AC32" i="25"/>
  <c r="AC28" i="25"/>
  <c r="AA56" i="25"/>
  <c r="AA23" i="66"/>
  <c r="AA23" i="6"/>
  <c r="AE16" i="6"/>
  <c r="AB55" i="25"/>
  <c r="AB34" i="67" s="1"/>
  <c r="AB49" i="25"/>
  <c r="AB59" i="25"/>
  <c r="AB38" i="67" s="1"/>
  <c r="AB39" i="67" s="1"/>
  <c r="AB68" i="67" s="1"/>
  <c r="AB70" i="67" s="1"/>
  <c r="AC48" i="25"/>
  <c r="AD27" i="25"/>
  <c r="AD31" i="25"/>
  <c r="AE20" i="25"/>
  <c r="AC18" i="6"/>
  <c r="AC17" i="6"/>
  <c r="AE12" i="23"/>
  <c r="AC11" i="24"/>
  <c r="AB10" i="24"/>
  <c r="AD21" i="25"/>
  <c r="AD22" i="25"/>
  <c r="AA45" i="24"/>
  <c r="K22" i="35" s="1"/>
  <c r="AB32" i="11"/>
  <c r="AB35" i="11"/>
  <c r="AB28" i="24" s="1"/>
  <c r="AB31" i="11"/>
  <c r="AB13" i="12"/>
  <c r="AA23" i="12" l="1"/>
  <c r="AA27" i="24" s="1"/>
  <c r="AB19" i="12"/>
  <c r="AB18" i="12"/>
  <c r="AB20" i="12"/>
  <c r="AB21" i="12"/>
  <c r="Z92" i="66"/>
  <c r="AD41" i="25"/>
  <c r="AD42" i="25" s="1"/>
  <c r="Z93" i="66"/>
  <c r="AA83" i="66"/>
  <c r="AA84" i="66"/>
  <c r="AA75" i="66"/>
  <c r="AA74" i="66"/>
  <c r="AE45" i="25"/>
  <c r="AE38" i="25"/>
  <c r="AE39" i="25"/>
  <c r="AE46" i="25"/>
  <c r="Y23" i="24"/>
  <c r="AA82" i="67"/>
  <c r="Z41" i="24"/>
  <c r="H21" i="35" s="1"/>
  <c r="AA60" i="67"/>
  <c r="AB51" i="67"/>
  <c r="AB53" i="67" s="1"/>
  <c r="AB56" i="67"/>
  <c r="AB58" i="67" s="1"/>
  <c r="AB46" i="67"/>
  <c r="AB48" i="67" s="1"/>
  <c r="Z39" i="6"/>
  <c r="Y18" i="24"/>
  <c r="Y35" i="24" s="1"/>
  <c r="D20" i="35" s="1"/>
  <c r="AA32" i="6"/>
  <c r="AA34" i="6"/>
  <c r="Z19" i="24" s="1"/>
  <c r="Z36" i="24" s="1"/>
  <c r="E21" i="35" s="1"/>
  <c r="AD12" i="12"/>
  <c r="AC14" i="12"/>
  <c r="AB52" i="24"/>
  <c r="AB53" i="24" s="1"/>
  <c r="AB74" i="67"/>
  <c r="AB76" i="67" s="1"/>
  <c r="AB78" i="67"/>
  <c r="AB80" i="67" s="1"/>
  <c r="AB72" i="67"/>
  <c r="AE22" i="23"/>
  <c r="AE23" i="23" s="1"/>
  <c r="AA84" i="67"/>
  <c r="AG11" i="23"/>
  <c r="AB62" i="67"/>
  <c r="AA24" i="24" s="1"/>
  <c r="AB64" i="67"/>
  <c r="AA25" i="24" s="1"/>
  <c r="Z96" i="66"/>
  <c r="Y21" i="24" s="1"/>
  <c r="Y38" i="24" s="1"/>
  <c r="F20" i="35" s="1"/>
  <c r="Z67" i="66"/>
  <c r="Z54" i="66"/>
  <c r="Z57" i="66" s="1"/>
  <c r="AA78" i="66"/>
  <c r="AA77" i="66"/>
  <c r="AA24" i="6"/>
  <c r="AA33" i="6" s="1"/>
  <c r="Z17" i="24" s="1"/>
  <c r="AA35" i="67"/>
  <c r="AA87" i="66"/>
  <c r="AA86" i="66"/>
  <c r="AA28" i="6"/>
  <c r="AA37" i="6" s="1"/>
  <c r="AA61" i="66"/>
  <c r="AA66" i="66" s="1"/>
  <c r="AA52" i="66"/>
  <c r="AA54" i="66" s="1"/>
  <c r="AA57" i="66" s="1"/>
  <c r="AB23" i="66"/>
  <c r="AB23" i="6"/>
  <c r="AD32" i="25"/>
  <c r="AD28" i="25"/>
  <c r="AB56" i="25"/>
  <c r="AB26" i="66"/>
  <c r="AB27" i="6"/>
  <c r="AB60" i="25"/>
  <c r="AB40" i="67" s="1"/>
  <c r="AF16" i="6"/>
  <c r="AC55" i="25"/>
  <c r="AC34" i="67" s="1"/>
  <c r="AC49" i="25"/>
  <c r="AC59" i="25"/>
  <c r="AC38" i="67" s="1"/>
  <c r="AC39" i="67" s="1"/>
  <c r="AC68" i="67" s="1"/>
  <c r="AC70" i="67" s="1"/>
  <c r="AD48" i="25"/>
  <c r="AE27" i="25"/>
  <c r="AE31" i="25"/>
  <c r="AF20" i="25"/>
  <c r="AD17" i="6"/>
  <c r="AD18" i="6"/>
  <c r="AC13" i="12"/>
  <c r="AF12" i="23"/>
  <c r="AC10" i="24"/>
  <c r="AD11" i="24"/>
  <c r="AC32" i="11"/>
  <c r="AC31" i="11"/>
  <c r="AC35" i="11"/>
  <c r="AC28" i="24" s="1"/>
  <c r="AE22" i="25"/>
  <c r="AE21" i="25"/>
  <c r="AB45" i="24"/>
  <c r="K23" i="35" s="1"/>
  <c r="AA92" i="66" l="1"/>
  <c r="AE41" i="25"/>
  <c r="AE42" i="25" s="1"/>
  <c r="AB23" i="12"/>
  <c r="AB27" i="24" s="1"/>
  <c r="AC20" i="12"/>
  <c r="AC21" i="12"/>
  <c r="AC18" i="12"/>
  <c r="AC19" i="12"/>
  <c r="AA93" i="66"/>
  <c r="AB83" i="66"/>
  <c r="AB84" i="66"/>
  <c r="AB75" i="66"/>
  <c r="AB74" i="66"/>
  <c r="AF45" i="25"/>
  <c r="AF38" i="25"/>
  <c r="AF46" i="25"/>
  <c r="AF39" i="25"/>
  <c r="AC23" i="12"/>
  <c r="AC27" i="24" s="1"/>
  <c r="Z23" i="24"/>
  <c r="AB82" i="67"/>
  <c r="AA41" i="24"/>
  <c r="H22" i="35" s="1"/>
  <c r="AB60" i="67"/>
  <c r="AC46" i="67"/>
  <c r="AC48" i="67" s="1"/>
  <c r="AC56" i="67"/>
  <c r="AC58" i="67" s="1"/>
  <c r="AC51" i="67"/>
  <c r="AC53" i="67" s="1"/>
  <c r="Z18" i="24"/>
  <c r="Z35" i="24" s="1"/>
  <c r="D21" i="35" s="1"/>
  <c r="AA39" i="6"/>
  <c r="AB32" i="6"/>
  <c r="AB34" i="6"/>
  <c r="AA19" i="24" s="1"/>
  <c r="AA36" i="24" s="1"/>
  <c r="E22" i="35" s="1"/>
  <c r="AE12" i="12"/>
  <c r="AD14" i="12"/>
  <c r="AF22" i="23"/>
  <c r="AF23" i="23" s="1"/>
  <c r="AC74" i="67"/>
  <c r="AC76" i="67" s="1"/>
  <c r="AC78" i="67"/>
  <c r="AC80" i="67" s="1"/>
  <c r="AC72" i="67"/>
  <c r="AB84" i="67"/>
  <c r="AH11" i="23"/>
  <c r="AC52" i="24"/>
  <c r="AC53" i="24" s="1"/>
  <c r="AC62" i="67"/>
  <c r="AB24" i="24" s="1"/>
  <c r="AC64" i="67"/>
  <c r="AB25" i="24" s="1"/>
  <c r="AB42" i="24" s="1"/>
  <c r="I23" i="35" s="1"/>
  <c r="AA67" i="66"/>
  <c r="AB77" i="66"/>
  <c r="AB78" i="66"/>
  <c r="AA55" i="66"/>
  <c r="AA58" i="66" s="1"/>
  <c r="AB24" i="6"/>
  <c r="AB33" i="6" s="1"/>
  <c r="AA17" i="24" s="1"/>
  <c r="AA34" i="24" s="1"/>
  <c r="C22" i="35" s="1"/>
  <c r="AB35" i="67"/>
  <c r="AA96" i="66"/>
  <c r="Z21" i="24" s="1"/>
  <c r="Z38" i="24" s="1"/>
  <c r="F21" i="35" s="1"/>
  <c r="AB28" i="6"/>
  <c r="AB37" i="6" s="1"/>
  <c r="AB86" i="66"/>
  <c r="AB87" i="66"/>
  <c r="AB52" i="66"/>
  <c r="AB55" i="66" s="1"/>
  <c r="AB58" i="66" s="1"/>
  <c r="AB61" i="66"/>
  <c r="AB66" i="66" s="1"/>
  <c r="AE32" i="25"/>
  <c r="AE28" i="25"/>
  <c r="AC23" i="66"/>
  <c r="AC23" i="6"/>
  <c r="AC56" i="25"/>
  <c r="AC26" i="66"/>
  <c r="AC27" i="6"/>
  <c r="AC60" i="25"/>
  <c r="AC40" i="67" s="1"/>
  <c r="AG16" i="6"/>
  <c r="AD55" i="25"/>
  <c r="AD34" i="67" s="1"/>
  <c r="AD49" i="25"/>
  <c r="AD59" i="25"/>
  <c r="AD38" i="67" s="1"/>
  <c r="AD39" i="67" s="1"/>
  <c r="AD68" i="67" s="1"/>
  <c r="AD70" i="67" s="1"/>
  <c r="AE48" i="25"/>
  <c r="AF27" i="25"/>
  <c r="AF31" i="25"/>
  <c r="AG20" i="25"/>
  <c r="Z34" i="24"/>
  <c r="C21" i="35" s="1"/>
  <c r="AE18" i="6"/>
  <c r="AE17" i="6"/>
  <c r="AF21" i="25"/>
  <c r="AF22" i="25"/>
  <c r="AA42" i="24"/>
  <c r="I22" i="35" s="1"/>
  <c r="AC45" i="24"/>
  <c r="K24" i="35" s="1"/>
  <c r="AD31" i="11"/>
  <c r="AD32" i="11"/>
  <c r="AD10" i="24"/>
  <c r="AE11" i="24"/>
  <c r="AG12" i="23"/>
  <c r="AD13" i="12"/>
  <c r="AB92" i="66" l="1"/>
  <c r="AD21" i="12"/>
  <c r="AD19" i="12"/>
  <c r="AD18" i="12"/>
  <c r="AD20" i="12"/>
  <c r="AF41" i="25"/>
  <c r="AF42" i="25" s="1"/>
  <c r="AB93" i="66"/>
  <c r="AC84" i="66"/>
  <c r="AC83" i="66"/>
  <c r="AC74" i="66"/>
  <c r="AC75" i="66"/>
  <c r="AC93" i="66" s="1"/>
  <c r="AG38" i="25"/>
  <c r="AG45" i="25"/>
  <c r="AG46" i="25"/>
  <c r="AG39" i="25"/>
  <c r="AD23" i="12"/>
  <c r="AD27" i="24" s="1"/>
  <c r="AA23" i="24"/>
  <c r="AC82" i="67"/>
  <c r="AB41" i="24"/>
  <c r="H23" i="35" s="1"/>
  <c r="AC60" i="67"/>
  <c r="AD46" i="67"/>
  <c r="AD48" i="67" s="1"/>
  <c r="AD51" i="67"/>
  <c r="AD53" i="67" s="1"/>
  <c r="AD56" i="67"/>
  <c r="AD58" i="67" s="1"/>
  <c r="AA18" i="24"/>
  <c r="AA35" i="24" s="1"/>
  <c r="D22" i="35" s="1"/>
  <c r="AB39" i="6"/>
  <c r="AC32" i="6"/>
  <c r="AC34" i="6"/>
  <c r="AB19" i="24" s="1"/>
  <c r="AB36" i="24" s="1"/>
  <c r="E23" i="35" s="1"/>
  <c r="AF12" i="12"/>
  <c r="AE14" i="12"/>
  <c r="AD74" i="67"/>
  <c r="AD76" i="67" s="1"/>
  <c r="AD78" i="67"/>
  <c r="AD80" i="67" s="1"/>
  <c r="AD72" i="67"/>
  <c r="AG22" i="23"/>
  <c r="AG23" i="23" s="1"/>
  <c r="AC84" i="67"/>
  <c r="AD52" i="24"/>
  <c r="AD53" i="24" s="1"/>
  <c r="AI11" i="23"/>
  <c r="AD62" i="67"/>
  <c r="AC24" i="24" s="1"/>
  <c r="AD64" i="67"/>
  <c r="AC25" i="24" s="1"/>
  <c r="AB54" i="66"/>
  <c r="AB57" i="66" s="1"/>
  <c r="AB67" i="66"/>
  <c r="AC24" i="6"/>
  <c r="AC33" i="6" s="1"/>
  <c r="AB17" i="24" s="1"/>
  <c r="AC35" i="67"/>
  <c r="AC77" i="66"/>
  <c r="AC78" i="66"/>
  <c r="AC28" i="6"/>
  <c r="AC37" i="6" s="1"/>
  <c r="AB96" i="66"/>
  <c r="AA21" i="24" s="1"/>
  <c r="AA38" i="24" s="1"/>
  <c r="F22" i="35" s="1"/>
  <c r="AC87" i="66"/>
  <c r="AC86" i="66"/>
  <c r="AC61" i="66"/>
  <c r="AC66" i="66" s="1"/>
  <c r="AC52" i="66"/>
  <c r="AC54" i="66" s="1"/>
  <c r="AC57" i="66" s="1"/>
  <c r="AD60" i="25"/>
  <c r="AD40" i="67" s="1"/>
  <c r="AF32" i="25"/>
  <c r="AF28" i="25"/>
  <c r="AD23" i="66"/>
  <c r="AD23" i="6"/>
  <c r="AD56" i="25"/>
  <c r="AD26" i="66"/>
  <c r="AD27" i="6"/>
  <c r="AH16" i="6"/>
  <c r="AE55" i="25"/>
  <c r="AE34" i="67" s="1"/>
  <c r="AE49" i="25"/>
  <c r="AE59" i="25"/>
  <c r="AE38" i="67" s="1"/>
  <c r="AE39" i="67" s="1"/>
  <c r="AE68" i="67" s="1"/>
  <c r="AE70" i="67" s="1"/>
  <c r="AF48" i="25"/>
  <c r="AG27" i="25"/>
  <c r="AG31" i="25"/>
  <c r="AH20" i="25"/>
  <c r="AH12" i="23"/>
  <c r="AF18" i="6"/>
  <c r="AF17" i="6"/>
  <c r="AE13" i="12"/>
  <c r="AG22" i="25"/>
  <c r="AG21" i="25"/>
  <c r="AD45" i="24"/>
  <c r="K25" i="35" s="1"/>
  <c r="AE32" i="11"/>
  <c r="AE35" i="11"/>
  <c r="AE28" i="24" s="1"/>
  <c r="AE31" i="11"/>
  <c r="AE10" i="24"/>
  <c r="AG41" i="25" l="1"/>
  <c r="AG42" i="25" s="1"/>
  <c r="AE18" i="12"/>
  <c r="AE20" i="12"/>
  <c r="AE21" i="12"/>
  <c r="AE19" i="12"/>
  <c r="AC92" i="66"/>
  <c r="AD83" i="66"/>
  <c r="AD84" i="66"/>
  <c r="AD74" i="66"/>
  <c r="AD75" i="66"/>
  <c r="AH38" i="25"/>
  <c r="AH45" i="25"/>
  <c r="AH46" i="25"/>
  <c r="AH39" i="25"/>
  <c r="AE23" i="12"/>
  <c r="AE27" i="24" s="1"/>
  <c r="AB23" i="24"/>
  <c r="AD82" i="67"/>
  <c r="AC41" i="24"/>
  <c r="H24" i="35" s="1"/>
  <c r="AD60" i="67"/>
  <c r="AE46" i="67"/>
  <c r="AE48" i="67" s="1"/>
  <c r="AE56" i="67"/>
  <c r="AE58" i="67" s="1"/>
  <c r="AE51" i="67"/>
  <c r="AE53" i="67" s="1"/>
  <c r="AB18" i="24"/>
  <c r="AB35" i="24" s="1"/>
  <c r="D23" i="35" s="1"/>
  <c r="AD32" i="6"/>
  <c r="AD34" i="6"/>
  <c r="AC19" i="24" s="1"/>
  <c r="AC36" i="24" s="1"/>
  <c r="E24" i="35" s="1"/>
  <c r="AC39" i="6"/>
  <c r="AG12" i="12"/>
  <c r="AF14" i="12"/>
  <c r="AH22" i="23"/>
  <c r="AH23" i="23" s="1"/>
  <c r="AE72" i="67"/>
  <c r="AE74" i="67"/>
  <c r="AE76" i="67" s="1"/>
  <c r="AE78" i="67"/>
  <c r="AE80" i="67" s="1"/>
  <c r="AD84" i="67"/>
  <c r="AE52" i="24"/>
  <c r="AE53" i="24" s="1"/>
  <c r="AJ11" i="23"/>
  <c r="AE62" i="67"/>
  <c r="AD24" i="24" s="1"/>
  <c r="AE64" i="67"/>
  <c r="AD25" i="24" s="1"/>
  <c r="AD42" i="24" s="1"/>
  <c r="I25" i="35" s="1"/>
  <c r="AC67" i="66"/>
  <c r="AC96" i="66"/>
  <c r="AB21" i="24" s="1"/>
  <c r="AB38" i="24" s="1"/>
  <c r="F23" i="35" s="1"/>
  <c r="AC55" i="66"/>
  <c r="AC58" i="66" s="1"/>
  <c r="AD24" i="6"/>
  <c r="AD33" i="6" s="1"/>
  <c r="AC17" i="24" s="1"/>
  <c r="AC34" i="24" s="1"/>
  <c r="C24" i="35" s="1"/>
  <c r="AD35" i="67"/>
  <c r="AD78" i="66"/>
  <c r="AD77" i="66"/>
  <c r="AD28" i="6"/>
  <c r="AD37" i="6" s="1"/>
  <c r="AD86" i="66"/>
  <c r="AD87" i="66"/>
  <c r="AD61" i="66"/>
  <c r="AD66" i="66" s="1"/>
  <c r="AD52" i="66"/>
  <c r="AD55" i="66" s="1"/>
  <c r="AD58" i="66" s="1"/>
  <c r="AE56" i="25"/>
  <c r="AG28" i="25"/>
  <c r="AG32" i="25"/>
  <c r="AE23" i="66"/>
  <c r="AE23" i="6"/>
  <c r="AE26" i="66"/>
  <c r="AE27" i="6"/>
  <c r="AE60" i="25"/>
  <c r="AE40" i="67" s="1"/>
  <c r="AI16" i="6"/>
  <c r="AF49" i="25"/>
  <c r="AF59" i="25"/>
  <c r="AF38" i="67" s="1"/>
  <c r="AF39" i="67" s="1"/>
  <c r="AF68" i="67" s="1"/>
  <c r="AF70" i="67" s="1"/>
  <c r="AF55" i="25"/>
  <c r="AF34" i="67" s="1"/>
  <c r="AG48" i="25"/>
  <c r="AH27" i="25"/>
  <c r="AH31" i="25"/>
  <c r="AI20" i="25"/>
  <c r="AI12" i="23"/>
  <c r="AH31" i="11"/>
  <c r="AH32" i="11"/>
  <c r="AH28" i="24"/>
  <c r="AF11" i="24"/>
  <c r="AG17" i="6"/>
  <c r="AG18" i="6"/>
  <c r="AF31" i="11"/>
  <c r="AF32" i="11"/>
  <c r="AF28" i="24"/>
  <c r="AE45" i="24"/>
  <c r="K26" i="35" s="1"/>
  <c r="AF10" i="24"/>
  <c r="AC42" i="24"/>
  <c r="I24" i="35" s="1"/>
  <c r="AH21" i="25"/>
  <c r="AH22" i="25"/>
  <c r="AB34" i="24"/>
  <c r="C23" i="35" s="1"/>
  <c r="AF13" i="12"/>
  <c r="AF20" i="12" l="1"/>
  <c r="AF21" i="12"/>
  <c r="AF18" i="12"/>
  <c r="AF19" i="12"/>
  <c r="AD93" i="66"/>
  <c r="AD92" i="66"/>
  <c r="AE83" i="66"/>
  <c r="AE84" i="66"/>
  <c r="AE74" i="66"/>
  <c r="AE75" i="66"/>
  <c r="AH41" i="25"/>
  <c r="AH42" i="25" s="1"/>
  <c r="AI45" i="25"/>
  <c r="AI38" i="25"/>
  <c r="AI39" i="25"/>
  <c r="AI46" i="25"/>
  <c r="AF23" i="12"/>
  <c r="AF27" i="24" s="1"/>
  <c r="AC23" i="24"/>
  <c r="AE82" i="67"/>
  <c r="AD41" i="24"/>
  <c r="H25" i="35" s="1"/>
  <c r="AE60" i="67"/>
  <c r="AF51" i="67"/>
  <c r="AF53" i="67" s="1"/>
  <c r="AF46" i="67"/>
  <c r="AF48" i="67" s="1"/>
  <c r="AF56" i="67"/>
  <c r="AF58" i="67" s="1"/>
  <c r="AD39" i="6"/>
  <c r="AC18" i="24"/>
  <c r="AC35" i="24" s="1"/>
  <c r="D24" i="35" s="1"/>
  <c r="AE32" i="6"/>
  <c r="AE34" i="6"/>
  <c r="AD19" i="24" s="1"/>
  <c r="AD36" i="24" s="1"/>
  <c r="E25" i="35" s="1"/>
  <c r="AH12" i="12"/>
  <c r="AG14" i="12"/>
  <c r="AF52" i="24"/>
  <c r="AF53" i="24" s="1"/>
  <c r="AI22" i="23"/>
  <c r="AI23" i="23" s="1"/>
  <c r="AF72" i="67"/>
  <c r="AF74" i="67"/>
  <c r="AF76" i="67" s="1"/>
  <c r="AF78" i="67"/>
  <c r="AF80" i="67" s="1"/>
  <c r="AE84" i="67"/>
  <c r="AK11" i="23"/>
  <c r="AK12" i="23" s="1"/>
  <c r="AF62" i="67"/>
  <c r="AE24" i="24" s="1"/>
  <c r="AF64" i="67"/>
  <c r="AE25" i="24" s="1"/>
  <c r="AD67" i="66"/>
  <c r="AD54" i="66"/>
  <c r="AD57" i="66" s="1"/>
  <c r="AE24" i="6"/>
  <c r="AE33" i="6" s="1"/>
  <c r="AD17" i="24" s="1"/>
  <c r="AE35" i="67"/>
  <c r="AE77" i="66"/>
  <c r="AE78" i="66"/>
  <c r="AE28" i="6"/>
  <c r="AE37" i="6" s="1"/>
  <c r="AD96" i="66"/>
  <c r="AC21" i="24" s="1"/>
  <c r="AC38" i="24" s="1"/>
  <c r="F24" i="35" s="1"/>
  <c r="AE86" i="66"/>
  <c r="AE87" i="66"/>
  <c r="AE61" i="66"/>
  <c r="AE66" i="66" s="1"/>
  <c r="AE52" i="66"/>
  <c r="AE55" i="66" s="1"/>
  <c r="AE58" i="66" s="1"/>
  <c r="AF26" i="66"/>
  <c r="AF27" i="6"/>
  <c r="AF56" i="25"/>
  <c r="AF60" i="25"/>
  <c r="AF40" i="67" s="1"/>
  <c r="AH28" i="25"/>
  <c r="AH32" i="25"/>
  <c r="AF23" i="66"/>
  <c r="AF23" i="6"/>
  <c r="AJ16" i="6"/>
  <c r="AI17" i="6"/>
  <c r="AI18" i="6"/>
  <c r="AG55" i="25"/>
  <c r="AG34" i="67" s="1"/>
  <c r="AG49" i="25"/>
  <c r="AG59" i="25"/>
  <c r="AG38" i="67" s="1"/>
  <c r="AG39" i="67" s="1"/>
  <c r="AG68" i="67" s="1"/>
  <c r="AG70" i="67" s="1"/>
  <c r="AH48" i="25"/>
  <c r="AI27" i="25"/>
  <c r="AI31" i="25"/>
  <c r="AJ20" i="25"/>
  <c r="AI22" i="25"/>
  <c r="AI21" i="25"/>
  <c r="AJ12" i="23"/>
  <c r="AG11" i="24"/>
  <c r="AI31" i="11"/>
  <c r="AI32" i="11"/>
  <c r="AI28" i="24"/>
  <c r="AH18" i="6"/>
  <c r="AH17" i="6"/>
  <c r="AG10" i="24"/>
  <c r="AF45" i="24"/>
  <c r="K27" i="35" s="1"/>
  <c r="AG13" i="12"/>
  <c r="AG28" i="24"/>
  <c r="AG31" i="11"/>
  <c r="AG32" i="11"/>
  <c r="AG19" i="12" l="1"/>
  <c r="AG21" i="12"/>
  <c r="AG18" i="12"/>
  <c r="AG20" i="12"/>
  <c r="AE93" i="66"/>
  <c r="AE92" i="66"/>
  <c r="AF83" i="66"/>
  <c r="AF84" i="66"/>
  <c r="AF75" i="66"/>
  <c r="AF74" i="66"/>
  <c r="AI41" i="25"/>
  <c r="AI42" i="25" s="1"/>
  <c r="AJ45" i="25"/>
  <c r="AJ38" i="25"/>
  <c r="AJ39" i="25"/>
  <c r="AJ46" i="25"/>
  <c r="AG23" i="12"/>
  <c r="AG27" i="24" s="1"/>
  <c r="AD23" i="24"/>
  <c r="AF82" i="67"/>
  <c r="AE41" i="24"/>
  <c r="H26" i="35" s="1"/>
  <c r="AF60" i="67"/>
  <c r="AG46" i="67"/>
  <c r="AG48" i="67" s="1"/>
  <c r="AG51" i="67"/>
  <c r="AG53" i="67" s="1"/>
  <c r="AG56" i="67"/>
  <c r="AG58" i="67" s="1"/>
  <c r="AD18" i="24"/>
  <c r="AD35" i="24" s="1"/>
  <c r="D25" i="35" s="1"/>
  <c r="AF32" i="6"/>
  <c r="AF34" i="6"/>
  <c r="AE19" i="24" s="1"/>
  <c r="AE39" i="6"/>
  <c r="AI12" i="12"/>
  <c r="AH14" i="12"/>
  <c r="AH13" i="12"/>
  <c r="AG52" i="24"/>
  <c r="AG53" i="24" s="1"/>
  <c r="AJ22" i="23"/>
  <c r="AJ23" i="23" s="1"/>
  <c r="AG78" i="67"/>
  <c r="AG80" i="67" s="1"/>
  <c r="AG74" i="67"/>
  <c r="AG76" i="67" s="1"/>
  <c r="AG72" i="67"/>
  <c r="AF84" i="67"/>
  <c r="AL11" i="23"/>
  <c r="AG62" i="67"/>
  <c r="AF24" i="24" s="1"/>
  <c r="AG64" i="67"/>
  <c r="AF25" i="24" s="1"/>
  <c r="AF42" i="24" s="1"/>
  <c r="I27" i="35" s="1"/>
  <c r="AE67" i="66"/>
  <c r="AE54" i="66"/>
  <c r="AE57" i="66" s="1"/>
  <c r="AF77" i="66"/>
  <c r="AF78" i="66"/>
  <c r="AF24" i="6"/>
  <c r="AF33" i="6" s="1"/>
  <c r="AE17" i="24" s="1"/>
  <c r="AE34" i="24" s="1"/>
  <c r="C26" i="35" s="1"/>
  <c r="AF35" i="67"/>
  <c r="AE96" i="66"/>
  <c r="AD21" i="24" s="1"/>
  <c r="AD38" i="24" s="1"/>
  <c r="F25" i="35" s="1"/>
  <c r="AF28" i="6"/>
  <c r="AF37" i="6" s="1"/>
  <c r="AF86" i="66"/>
  <c r="AF87" i="66"/>
  <c r="AF61" i="66"/>
  <c r="AF67" i="66" s="1"/>
  <c r="AF52" i="66"/>
  <c r="AF54" i="66" s="1"/>
  <c r="AF57" i="66" s="1"/>
  <c r="AI32" i="25"/>
  <c r="AI48" i="25"/>
  <c r="AI28" i="25"/>
  <c r="AG26" i="66"/>
  <c r="AG27" i="6"/>
  <c r="AG60" i="25"/>
  <c r="AG40" i="67" s="1"/>
  <c r="AG23" i="66"/>
  <c r="AG23" i="6"/>
  <c r="AG56" i="25"/>
  <c r="AK16" i="6"/>
  <c r="AJ17" i="6"/>
  <c r="AJ18" i="6"/>
  <c r="AH49" i="25"/>
  <c r="AH59" i="25"/>
  <c r="AH38" i="67" s="1"/>
  <c r="AH39" i="67" s="1"/>
  <c r="AH68" i="67" s="1"/>
  <c r="AH70" i="67" s="1"/>
  <c r="AH55" i="25"/>
  <c r="AH34" i="67" s="1"/>
  <c r="AJ27" i="25"/>
  <c r="AJ31" i="25"/>
  <c r="AK20" i="25"/>
  <c r="AJ21" i="25"/>
  <c r="AJ22" i="25"/>
  <c r="E35" i="11"/>
  <c r="AJ31" i="11"/>
  <c r="AJ32" i="11"/>
  <c r="AH10" i="24"/>
  <c r="AH11" i="24"/>
  <c r="AD34" i="24"/>
  <c r="C25" i="35" s="1"/>
  <c r="AE42" i="24"/>
  <c r="I26" i="35" s="1"/>
  <c r="AF92" i="66" l="1"/>
  <c r="AJ41" i="25"/>
  <c r="AJ42" i="25" s="1"/>
  <c r="AH21" i="12"/>
  <c r="AH20" i="12"/>
  <c r="AH18" i="12"/>
  <c r="AH19" i="12"/>
  <c r="AF93" i="66"/>
  <c r="AG84" i="66"/>
  <c r="AG83" i="66"/>
  <c r="AG75" i="66"/>
  <c r="AG74" i="66"/>
  <c r="AK38" i="25"/>
  <c r="AK45" i="25"/>
  <c r="AK46" i="25"/>
  <c r="AK39" i="25"/>
  <c r="AH23" i="12"/>
  <c r="AH27" i="24" s="1"/>
  <c r="AE23" i="24"/>
  <c r="AG82" i="67"/>
  <c r="AF41" i="24"/>
  <c r="H27" i="35" s="1"/>
  <c r="AG60" i="67"/>
  <c r="AH56" i="67"/>
  <c r="AH58" i="67" s="1"/>
  <c r="AH51" i="67"/>
  <c r="AH53" i="67" s="1"/>
  <c r="AH46" i="67"/>
  <c r="AH48" i="67" s="1"/>
  <c r="AF39" i="6"/>
  <c r="AE18" i="24"/>
  <c r="AE35" i="24" s="1"/>
  <c r="D26" i="35" s="1"/>
  <c r="AG32" i="6"/>
  <c r="AG34" i="6"/>
  <c r="AF19" i="24" s="1"/>
  <c r="AF36" i="24" s="1"/>
  <c r="E27" i="35" s="1"/>
  <c r="AJ12" i="12"/>
  <c r="AI14" i="12"/>
  <c r="AI13" i="12"/>
  <c r="AH72" i="67"/>
  <c r="AH78" i="67"/>
  <c r="AH80" i="67" s="1"/>
  <c r="AH74" i="67"/>
  <c r="AH76" i="67" s="1"/>
  <c r="AK22" i="23"/>
  <c r="AK23" i="23" s="1"/>
  <c r="AG84" i="67"/>
  <c r="AM11" i="23"/>
  <c r="AL12" i="23"/>
  <c r="AH52" i="24"/>
  <c r="AH53" i="24" s="1"/>
  <c r="AH64" i="67"/>
  <c r="AG25" i="24" s="1"/>
  <c r="AH62" i="67"/>
  <c r="AG24" i="24" s="1"/>
  <c r="AF66" i="66"/>
  <c r="AF55" i="66"/>
  <c r="AF58" i="66" s="1"/>
  <c r="AG24" i="6"/>
  <c r="AG33" i="6" s="1"/>
  <c r="AF17" i="24" s="1"/>
  <c r="AG35" i="67"/>
  <c r="AG77" i="66"/>
  <c r="AG78" i="66"/>
  <c r="AF96" i="66"/>
  <c r="AE21" i="24" s="1"/>
  <c r="AI59" i="25"/>
  <c r="AI38" i="67" s="1"/>
  <c r="AI39" i="67" s="1"/>
  <c r="AI68" i="67" s="1"/>
  <c r="AI70" i="67" s="1"/>
  <c r="AG87" i="66"/>
  <c r="AG86" i="66"/>
  <c r="AG28" i="6"/>
  <c r="AG37" i="6" s="1"/>
  <c r="AG52" i="66"/>
  <c r="AG55" i="66" s="1"/>
  <c r="AG58" i="66" s="1"/>
  <c r="AG61" i="66"/>
  <c r="AG66" i="66" s="1"/>
  <c r="AI49" i="25"/>
  <c r="AI60" i="25" s="1"/>
  <c r="AI40" i="67" s="1"/>
  <c r="AJ32" i="25"/>
  <c r="AJ28" i="25"/>
  <c r="AJ48" i="25"/>
  <c r="AH23" i="66"/>
  <c r="AH23" i="6"/>
  <c r="AH56" i="25"/>
  <c r="AH26" i="66"/>
  <c r="AH27" i="6"/>
  <c r="AH60" i="25"/>
  <c r="AH40" i="67" s="1"/>
  <c r="AL16" i="6"/>
  <c r="AK18" i="6"/>
  <c r="AK17" i="6"/>
  <c r="AI55" i="25"/>
  <c r="AI34" i="67" s="1"/>
  <c r="AK27" i="25"/>
  <c r="AK31" i="25"/>
  <c r="AL20" i="25"/>
  <c r="AK21" i="25"/>
  <c r="AK22" i="25"/>
  <c r="AK31" i="11"/>
  <c r="AK32" i="11"/>
  <c r="AK28" i="24"/>
  <c r="AI11" i="24"/>
  <c r="AI10" i="24"/>
  <c r="AH45" i="24"/>
  <c r="K29" i="35" s="1"/>
  <c r="AG45" i="24"/>
  <c r="K28" i="35" s="1"/>
  <c r="AE36" i="24"/>
  <c r="E26" i="35" s="1"/>
  <c r="AG92" i="66" l="1"/>
  <c r="AI19" i="12"/>
  <c r="AI21" i="12"/>
  <c r="AI20" i="12"/>
  <c r="AI18" i="12"/>
  <c r="AG93" i="66"/>
  <c r="AH84" i="66"/>
  <c r="AH83" i="66"/>
  <c r="AH75" i="66"/>
  <c r="AH74" i="66"/>
  <c r="AK41" i="25"/>
  <c r="AK42" i="25" s="1"/>
  <c r="AL38" i="25"/>
  <c r="AL45" i="25"/>
  <c r="AL46" i="25"/>
  <c r="AL39" i="25"/>
  <c r="AI23" i="12"/>
  <c r="AI27" i="24" s="1"/>
  <c r="AF23" i="24"/>
  <c r="AH82" i="67"/>
  <c r="AG41" i="24"/>
  <c r="H28" i="35" s="1"/>
  <c r="AH60" i="67"/>
  <c r="AI56" i="67"/>
  <c r="AI58" i="67" s="1"/>
  <c r="AI46" i="67"/>
  <c r="AI48" i="67" s="1"/>
  <c r="AI51" i="67"/>
  <c r="AI53" i="67" s="1"/>
  <c r="AG39" i="6"/>
  <c r="AF18" i="24"/>
  <c r="AF35" i="24" s="1"/>
  <c r="D27" i="35" s="1"/>
  <c r="AH32" i="6"/>
  <c r="AH34" i="6"/>
  <c r="AG19" i="24" s="1"/>
  <c r="AG36" i="24" s="1"/>
  <c r="E28" i="35" s="1"/>
  <c r="AK12" i="12"/>
  <c r="AJ14" i="12"/>
  <c r="AJ13" i="12"/>
  <c r="AL22" i="23"/>
  <c r="AL23" i="23" s="1"/>
  <c r="AI72" i="67"/>
  <c r="AI78" i="67"/>
  <c r="AI80" i="67" s="1"/>
  <c r="AI74" i="67"/>
  <c r="AI76" i="67" s="1"/>
  <c r="AH84" i="67"/>
  <c r="AN11" i="23"/>
  <c r="AM12" i="23"/>
  <c r="AI52" i="24"/>
  <c r="AI53" i="24" s="1"/>
  <c r="AI62" i="67"/>
  <c r="AH24" i="24" s="1"/>
  <c r="AI64" i="67"/>
  <c r="AH25" i="24" s="1"/>
  <c r="AH42" i="24" s="1"/>
  <c r="I29" i="35" s="1"/>
  <c r="AG54" i="66"/>
  <c r="AG57" i="66" s="1"/>
  <c r="AJ59" i="25"/>
  <c r="AJ38" i="67" s="1"/>
  <c r="AJ39" i="67" s="1"/>
  <c r="AJ68" i="67" s="1"/>
  <c r="AJ70" i="67" s="1"/>
  <c r="AH24" i="6"/>
  <c r="AH33" i="6" s="1"/>
  <c r="AG17" i="24" s="1"/>
  <c r="AH35" i="67"/>
  <c r="AJ49" i="25"/>
  <c r="AJ60" i="25" s="1"/>
  <c r="AJ40" i="67" s="1"/>
  <c r="AH78" i="66"/>
  <c r="AH77" i="66"/>
  <c r="AG96" i="66"/>
  <c r="AF21" i="24" s="1"/>
  <c r="AF38" i="24" s="1"/>
  <c r="F27" i="35" s="1"/>
  <c r="AI27" i="6"/>
  <c r="AG67" i="66"/>
  <c r="AI26" i="66"/>
  <c r="AH28" i="6"/>
  <c r="AH37" i="6" s="1"/>
  <c r="AH86" i="66"/>
  <c r="AH87" i="66"/>
  <c r="AI28" i="6"/>
  <c r="AI37" i="6" s="1"/>
  <c r="AH52" i="66"/>
  <c r="AH54" i="66" s="1"/>
  <c r="AH57" i="66" s="1"/>
  <c r="AH61" i="66"/>
  <c r="AH66" i="66" s="1"/>
  <c r="AI23" i="66"/>
  <c r="AI23" i="6"/>
  <c r="AI56" i="25"/>
  <c r="AK28" i="25"/>
  <c r="AM16" i="6"/>
  <c r="AL17" i="6"/>
  <c r="AL18" i="6"/>
  <c r="AJ55" i="25"/>
  <c r="AJ34" i="67" s="1"/>
  <c r="AK48" i="25"/>
  <c r="AL27" i="25"/>
  <c r="AL31" i="25"/>
  <c r="AK32" i="25"/>
  <c r="AM20" i="25"/>
  <c r="AL21" i="25"/>
  <c r="AL22" i="25"/>
  <c r="AK45" i="24"/>
  <c r="AL32" i="11"/>
  <c r="AL31" i="11"/>
  <c r="AL35" i="11"/>
  <c r="AL28" i="24" s="1"/>
  <c r="AJ10" i="24"/>
  <c r="AJ11" i="24"/>
  <c r="AI45" i="24"/>
  <c r="K30" i="35" s="1"/>
  <c r="K31" i="35" s="1"/>
  <c r="AE38" i="24"/>
  <c r="F26" i="35" s="1"/>
  <c r="AF34" i="24"/>
  <c r="C27" i="35" s="1"/>
  <c r="AL41" i="25" l="1"/>
  <c r="AL42" i="25" s="1"/>
  <c r="AJ19" i="12"/>
  <c r="AJ18" i="12"/>
  <c r="AJ20" i="12"/>
  <c r="AJ21" i="12"/>
  <c r="AH93" i="66"/>
  <c r="AH92" i="66"/>
  <c r="AI61" i="66"/>
  <c r="AI67" i="66" s="1"/>
  <c r="AI84" i="66"/>
  <c r="AI83" i="66"/>
  <c r="AI74" i="66"/>
  <c r="AI75" i="66"/>
  <c r="AM38" i="25"/>
  <c r="AM45" i="25"/>
  <c r="AM46" i="25"/>
  <c r="AM39" i="25"/>
  <c r="AJ23" i="12"/>
  <c r="AJ27" i="24" s="1"/>
  <c r="AG23" i="24"/>
  <c r="AI82" i="67"/>
  <c r="AH41" i="24"/>
  <c r="H29" i="35" s="1"/>
  <c r="AI60" i="67"/>
  <c r="AJ56" i="67"/>
  <c r="AJ58" i="67" s="1"/>
  <c r="AJ46" i="67"/>
  <c r="AJ48" i="67" s="1"/>
  <c r="AJ51" i="67"/>
  <c r="AJ53" i="67" s="1"/>
  <c r="AH39" i="6"/>
  <c r="AG18" i="24"/>
  <c r="AG35" i="24" s="1"/>
  <c r="D28" i="35" s="1"/>
  <c r="AI32" i="6"/>
  <c r="AH18" i="24" s="1"/>
  <c r="AH35" i="24" s="1"/>
  <c r="D29" i="35" s="1"/>
  <c r="AI34" i="6"/>
  <c r="AH19" i="24" s="1"/>
  <c r="AH36" i="24" s="1"/>
  <c r="E29" i="35" s="1"/>
  <c r="AL12" i="12"/>
  <c r="AK14" i="12"/>
  <c r="AK13" i="12"/>
  <c r="AJ74" i="67"/>
  <c r="AJ76" i="67" s="1"/>
  <c r="AJ78" i="67"/>
  <c r="AJ80" i="67" s="1"/>
  <c r="AJ72" i="67"/>
  <c r="AM22" i="23"/>
  <c r="AM23" i="23" s="1"/>
  <c r="AI84" i="67"/>
  <c r="AO11" i="23"/>
  <c r="AN12" i="23"/>
  <c r="AJ52" i="24"/>
  <c r="AJ64" i="67"/>
  <c r="AI25" i="24" s="1"/>
  <c r="AI42" i="24" s="1"/>
  <c r="I30" i="35" s="1"/>
  <c r="AJ62" i="67"/>
  <c r="AI24" i="24" s="1"/>
  <c r="AH67" i="66"/>
  <c r="AH55" i="66"/>
  <c r="AH58" i="66" s="1"/>
  <c r="AI87" i="66"/>
  <c r="AK56" i="25"/>
  <c r="AK55" i="25"/>
  <c r="AK34" i="67" s="1"/>
  <c r="AJ27" i="6"/>
  <c r="AJ26" i="66"/>
  <c r="AI86" i="66"/>
  <c r="AI24" i="6"/>
  <c r="AI33" i="6" s="1"/>
  <c r="AH17" i="24" s="1"/>
  <c r="AH34" i="24" s="1"/>
  <c r="C29" i="35" s="1"/>
  <c r="AI35" i="67"/>
  <c r="AI77" i="66"/>
  <c r="AI78" i="66"/>
  <c r="AH96" i="66"/>
  <c r="AG21" i="24" s="1"/>
  <c r="AJ28" i="6"/>
  <c r="AJ37" i="6" s="1"/>
  <c r="AI52" i="66"/>
  <c r="AI55" i="66" s="1"/>
  <c r="AI58" i="66" s="1"/>
  <c r="AL32" i="25"/>
  <c r="AL28" i="25"/>
  <c r="AL48" i="25"/>
  <c r="AJ23" i="66"/>
  <c r="AJ23" i="6"/>
  <c r="AJ56" i="25"/>
  <c r="AN16" i="6"/>
  <c r="AM17" i="6"/>
  <c r="AM18" i="6"/>
  <c r="AK49" i="25"/>
  <c r="AK59" i="25"/>
  <c r="AK38" i="67" s="1"/>
  <c r="AK39" i="67" s="1"/>
  <c r="AK68" i="67" s="1"/>
  <c r="AK70" i="67" s="1"/>
  <c r="AM27" i="25"/>
  <c r="AM31" i="25"/>
  <c r="AN20" i="25"/>
  <c r="AM21" i="25"/>
  <c r="AM22" i="25"/>
  <c r="AL45" i="24"/>
  <c r="AM31" i="11"/>
  <c r="AM32" i="11"/>
  <c r="AM35" i="11"/>
  <c r="AM28" i="24" s="1"/>
  <c r="AJ45" i="24"/>
  <c r="AG42" i="24"/>
  <c r="I28" i="35" s="1"/>
  <c r="AI93" i="66" l="1"/>
  <c r="AK19" i="12"/>
  <c r="AK21" i="12"/>
  <c r="AK18" i="12"/>
  <c r="AK20" i="12"/>
  <c r="AK23" i="12" s="1"/>
  <c r="AK27" i="24" s="1"/>
  <c r="AM41" i="25"/>
  <c r="AM42" i="25" s="1"/>
  <c r="AI92" i="66"/>
  <c r="AI66" i="66"/>
  <c r="AJ61" i="66"/>
  <c r="AJ66" i="66" s="1"/>
  <c r="AJ83" i="66"/>
  <c r="AJ84" i="66"/>
  <c r="AJ74" i="66"/>
  <c r="AJ75" i="66"/>
  <c r="AN45" i="25"/>
  <c r="AN38" i="25"/>
  <c r="AN39" i="25"/>
  <c r="AN46" i="25"/>
  <c r="AJ53" i="24"/>
  <c r="I31" i="35"/>
  <c r="AH23" i="24"/>
  <c r="AJ82" i="67"/>
  <c r="AI41" i="24"/>
  <c r="H30" i="35" s="1"/>
  <c r="H31" i="35" s="1"/>
  <c r="AJ60" i="67"/>
  <c r="AK46" i="67"/>
  <c r="AK48" i="67" s="1"/>
  <c r="AK56" i="67"/>
  <c r="AK58" i="67" s="1"/>
  <c r="AK51" i="67"/>
  <c r="AK53" i="67" s="1"/>
  <c r="AJ32" i="6"/>
  <c r="AI18" i="24" s="1"/>
  <c r="AI35" i="24" s="1"/>
  <c r="D30" i="35" s="1"/>
  <c r="D31" i="35" s="1"/>
  <c r="AJ34" i="6"/>
  <c r="AI19" i="24" s="1"/>
  <c r="AI36" i="24" s="1"/>
  <c r="E30" i="35" s="1"/>
  <c r="E31" i="35" s="1"/>
  <c r="AI39" i="6"/>
  <c r="AM12" i="12"/>
  <c r="AL14" i="12"/>
  <c r="AL13" i="12"/>
  <c r="AK52" i="24"/>
  <c r="AK53" i="24" s="1"/>
  <c r="AK23" i="66"/>
  <c r="AN22" i="23"/>
  <c r="AL52" i="24" s="1"/>
  <c r="AL53" i="24" s="1"/>
  <c r="AK74" i="67"/>
  <c r="AK76" i="67" s="1"/>
  <c r="AK78" i="67"/>
  <c r="AK80" i="67" s="1"/>
  <c r="AK72" i="67"/>
  <c r="AJ84" i="67"/>
  <c r="AP11" i="23"/>
  <c r="AO12" i="23"/>
  <c r="AK62" i="67"/>
  <c r="AJ24" i="24" s="1"/>
  <c r="AK64" i="67"/>
  <c r="AJ25" i="24" s="1"/>
  <c r="AJ42" i="24" s="1"/>
  <c r="AJ87" i="66"/>
  <c r="AK23" i="6"/>
  <c r="AJ86" i="66"/>
  <c r="AI54" i="66"/>
  <c r="AI57" i="66" s="1"/>
  <c r="AI96" i="66"/>
  <c r="AH21" i="24" s="1"/>
  <c r="AH38" i="24" s="1"/>
  <c r="F29" i="35" s="1"/>
  <c r="AJ24" i="6"/>
  <c r="AJ33" i="6" s="1"/>
  <c r="AI17" i="24" s="1"/>
  <c r="AI34" i="24" s="1"/>
  <c r="C30" i="35" s="1"/>
  <c r="AJ35" i="67"/>
  <c r="AJ78" i="66"/>
  <c r="AJ77" i="66"/>
  <c r="AL59" i="25"/>
  <c r="AL38" i="67" s="1"/>
  <c r="AL39" i="67" s="1"/>
  <c r="AL68" i="67" s="1"/>
  <c r="AL70" i="67" s="1"/>
  <c r="AK24" i="6"/>
  <c r="AK33" i="6" s="1"/>
  <c r="AJ17" i="24" s="1"/>
  <c r="AK35" i="67"/>
  <c r="AJ52" i="66"/>
  <c r="AJ55" i="66" s="1"/>
  <c r="AJ58" i="66" s="1"/>
  <c r="AL49" i="25"/>
  <c r="AM32" i="25"/>
  <c r="AM28" i="25"/>
  <c r="AK26" i="66"/>
  <c r="AK27" i="6"/>
  <c r="AK60" i="25"/>
  <c r="AK40" i="67" s="1"/>
  <c r="AM48" i="25"/>
  <c r="AO16" i="6"/>
  <c r="AN17" i="6"/>
  <c r="AN18" i="6"/>
  <c r="AL55" i="25"/>
  <c r="AL34" i="67" s="1"/>
  <c r="AN27" i="25"/>
  <c r="AN31" i="25"/>
  <c r="AO20" i="25"/>
  <c r="AN21" i="25"/>
  <c r="AN22" i="25"/>
  <c r="AM45" i="24"/>
  <c r="AN32" i="11"/>
  <c r="AN35" i="11"/>
  <c r="AN28" i="24" s="1"/>
  <c r="AN31" i="11"/>
  <c r="AG38" i="24"/>
  <c r="F28" i="35" s="1"/>
  <c r="AJ67" i="66" l="1"/>
  <c r="AL18" i="12"/>
  <c r="AL21" i="12"/>
  <c r="AL20" i="12"/>
  <c r="AL19" i="12"/>
  <c r="AJ92" i="66"/>
  <c r="AJ93" i="66"/>
  <c r="AK83" i="66"/>
  <c r="AK84" i="66"/>
  <c r="AK78" i="66"/>
  <c r="AK74" i="66"/>
  <c r="AK75" i="66"/>
  <c r="AN41" i="25"/>
  <c r="AN42" i="25" s="1"/>
  <c r="AO38" i="25"/>
  <c r="AO45" i="25"/>
  <c r="AO46" i="25"/>
  <c r="AO39" i="25"/>
  <c r="AI23" i="24"/>
  <c r="AK82" i="67"/>
  <c r="AJ41" i="24"/>
  <c r="AK60" i="67"/>
  <c r="AL56" i="67"/>
  <c r="AL58" i="67" s="1"/>
  <c r="AL46" i="67"/>
  <c r="AL48" i="67" s="1"/>
  <c r="AL51" i="67"/>
  <c r="AL53" i="67" s="1"/>
  <c r="AK52" i="66"/>
  <c r="AK54" i="66" s="1"/>
  <c r="AK57" i="66" s="1"/>
  <c r="AK77" i="66"/>
  <c r="AJ39" i="6"/>
  <c r="AK32" i="6"/>
  <c r="AK34" i="6"/>
  <c r="AJ19" i="24" s="1"/>
  <c r="AJ36" i="24" s="1"/>
  <c r="AN12" i="12"/>
  <c r="AM14" i="12"/>
  <c r="AM13" i="12"/>
  <c r="AK44" i="24"/>
  <c r="AN23" i="23"/>
  <c r="AK84" i="67"/>
  <c r="AO22" i="23"/>
  <c r="AO23" i="23" s="1"/>
  <c r="AL74" i="67"/>
  <c r="AL76" i="67" s="1"/>
  <c r="AL78" i="67"/>
  <c r="AL80" i="67" s="1"/>
  <c r="AL72" i="67"/>
  <c r="M44" i="24"/>
  <c r="J8" i="35" s="1"/>
  <c r="L44" i="24"/>
  <c r="J7" i="35" s="1"/>
  <c r="P44" i="24"/>
  <c r="J11" i="35" s="1"/>
  <c r="AQ11" i="23"/>
  <c r="AP12" i="23"/>
  <c r="O44" i="24"/>
  <c r="J10" i="35" s="1"/>
  <c r="K44" i="24"/>
  <c r="J6" i="35" s="1"/>
  <c r="N44" i="24"/>
  <c r="J9" i="35" s="1"/>
  <c r="AL62" i="67"/>
  <c r="AK24" i="24" s="1"/>
  <c r="AL64" i="67"/>
  <c r="AK25" i="24" s="1"/>
  <c r="AK42" i="24" s="1"/>
  <c r="AJ96" i="66"/>
  <c r="AI21" i="24" s="1"/>
  <c r="AI38" i="24" s="1"/>
  <c r="F30" i="35" s="1"/>
  <c r="F31" i="35" s="1"/>
  <c r="AL26" i="66"/>
  <c r="AL27" i="6"/>
  <c r="AJ54" i="66"/>
  <c r="AJ57" i="66" s="1"/>
  <c r="AK28" i="6"/>
  <c r="AK37" i="6" s="1"/>
  <c r="AK87" i="66"/>
  <c r="AK86" i="66"/>
  <c r="AL60" i="25"/>
  <c r="AL40" i="67" s="1"/>
  <c r="AK61" i="66"/>
  <c r="AK66" i="66" s="1"/>
  <c r="AN48" i="25"/>
  <c r="AM59" i="25"/>
  <c r="AM38" i="67" s="1"/>
  <c r="AM39" i="67" s="1"/>
  <c r="AM68" i="67" s="1"/>
  <c r="AM70" i="67" s="1"/>
  <c r="AM49" i="25"/>
  <c r="AL56" i="25"/>
  <c r="AL23" i="66"/>
  <c r="AL23" i="6"/>
  <c r="AN28" i="25"/>
  <c r="AN32" i="25"/>
  <c r="AP16" i="6"/>
  <c r="AO18" i="6"/>
  <c r="AO17" i="6"/>
  <c r="AM55" i="25"/>
  <c r="AM34" i="67" s="1"/>
  <c r="AO27" i="25"/>
  <c r="AO31" i="25"/>
  <c r="AP20" i="25"/>
  <c r="AO22" i="25"/>
  <c r="AO21" i="25"/>
  <c r="AN45" i="24"/>
  <c r="AO31" i="11"/>
  <c r="AO32" i="11"/>
  <c r="AO35" i="11"/>
  <c r="AO28" i="24" s="1"/>
  <c r="AK93" i="66" l="1"/>
  <c r="AL23" i="12"/>
  <c r="AM19" i="12"/>
  <c r="AM20" i="12"/>
  <c r="AM18" i="12"/>
  <c r="AM21" i="12"/>
  <c r="AK92" i="66"/>
  <c r="AL61" i="66"/>
  <c r="AL66" i="66" s="1"/>
  <c r="AL84" i="66"/>
  <c r="AL83" i="66"/>
  <c r="AL74" i="66"/>
  <c r="AL75" i="66"/>
  <c r="AP45" i="25"/>
  <c r="AP38" i="25"/>
  <c r="AP46" i="25"/>
  <c r="AP39" i="25"/>
  <c r="AO41" i="25"/>
  <c r="AO42" i="25" s="1"/>
  <c r="AJ23" i="24"/>
  <c r="AL82" i="67"/>
  <c r="AK41" i="24"/>
  <c r="AL60" i="67"/>
  <c r="AM46" i="67"/>
  <c r="AM48" i="67" s="1"/>
  <c r="AM51" i="67"/>
  <c r="AM53" i="67" s="1"/>
  <c r="AM56" i="67"/>
  <c r="AM58" i="67" s="1"/>
  <c r="AK55" i="66"/>
  <c r="AK58" i="66" s="1"/>
  <c r="AL27" i="24"/>
  <c r="AL44" i="24" s="1"/>
  <c r="AK39" i="6"/>
  <c r="AJ18" i="24"/>
  <c r="AJ35" i="24" s="1"/>
  <c r="AL32" i="6"/>
  <c r="AL34" i="6"/>
  <c r="AK19" i="24" s="1"/>
  <c r="AK36" i="24" s="1"/>
  <c r="AM52" i="24"/>
  <c r="AM53" i="24" s="1"/>
  <c r="AO12" i="12"/>
  <c r="AN14" i="12"/>
  <c r="AN13" i="12"/>
  <c r="AL86" i="66"/>
  <c r="AP22" i="23"/>
  <c r="AP23" i="23" s="1"/>
  <c r="AL87" i="66"/>
  <c r="AM72" i="67"/>
  <c r="AM74" i="67"/>
  <c r="AM76" i="67" s="1"/>
  <c r="AM78" i="67"/>
  <c r="AM80" i="67" s="1"/>
  <c r="AL84" i="67"/>
  <c r="AQ12" i="23"/>
  <c r="AR11" i="23"/>
  <c r="AM64" i="67"/>
  <c r="AL25" i="24" s="1"/>
  <c r="AL42" i="24" s="1"/>
  <c r="AM62" i="67"/>
  <c r="AL24" i="24" s="1"/>
  <c r="AK96" i="66"/>
  <c r="AJ21" i="24" s="1"/>
  <c r="AK67" i="66"/>
  <c r="AL78" i="66"/>
  <c r="AL77" i="66"/>
  <c r="AL24" i="6"/>
  <c r="AL33" i="6" s="1"/>
  <c r="AK17" i="24" s="1"/>
  <c r="AK34" i="24" s="1"/>
  <c r="AL35" i="67"/>
  <c r="AN59" i="25"/>
  <c r="AN38" i="67" s="1"/>
  <c r="AN39" i="67" s="1"/>
  <c r="AN68" i="67" s="1"/>
  <c r="AN70" i="67" s="1"/>
  <c r="AN49" i="25"/>
  <c r="AN60" i="25" s="1"/>
  <c r="AN40" i="67" s="1"/>
  <c r="AL28" i="6"/>
  <c r="AL37" i="6" s="1"/>
  <c r="AL52" i="66"/>
  <c r="AL54" i="66" s="1"/>
  <c r="AL57" i="66" s="1"/>
  <c r="AO28" i="25"/>
  <c r="AO32" i="25"/>
  <c r="AM60" i="25"/>
  <c r="AM40" i="67" s="1"/>
  <c r="AM23" i="66"/>
  <c r="AM23" i="6"/>
  <c r="AM26" i="66"/>
  <c r="AM27" i="6"/>
  <c r="AM56" i="25"/>
  <c r="AQ16" i="6"/>
  <c r="AP18" i="6"/>
  <c r="AP17" i="6"/>
  <c r="AN55" i="25"/>
  <c r="AN34" i="67" s="1"/>
  <c r="AO48" i="25"/>
  <c r="AP27" i="25"/>
  <c r="AP31" i="25"/>
  <c r="AQ20" i="25"/>
  <c r="AP21" i="25"/>
  <c r="AP22" i="25"/>
  <c r="AO45" i="24"/>
  <c r="AP31" i="11"/>
  <c r="AP35" i="11"/>
  <c r="AP28" i="24" s="1"/>
  <c r="AP32" i="11"/>
  <c r="D17" i="24"/>
  <c r="S16" i="35" s="1"/>
  <c r="AJ34" i="24"/>
  <c r="AG34" i="24"/>
  <c r="C28" i="35" s="1"/>
  <c r="C31" i="35" s="1"/>
  <c r="AL93" i="66" l="1"/>
  <c r="AM23" i="12"/>
  <c r="AM27" i="24" s="1"/>
  <c r="AN18" i="12"/>
  <c r="AN21" i="12"/>
  <c r="AN19" i="12"/>
  <c r="AN20" i="12"/>
  <c r="AL67" i="66"/>
  <c r="AL92" i="66"/>
  <c r="AM84" i="66"/>
  <c r="AM83" i="66"/>
  <c r="AM75" i="66"/>
  <c r="AM74" i="66"/>
  <c r="AP41" i="25"/>
  <c r="AP42" i="25" s="1"/>
  <c r="AQ38" i="25"/>
  <c r="AQ45" i="25"/>
  <c r="AQ46" i="25"/>
  <c r="AQ39" i="25"/>
  <c r="AK23" i="24"/>
  <c r="AM82" i="67"/>
  <c r="AL41" i="24"/>
  <c r="AM60" i="67"/>
  <c r="AN56" i="67"/>
  <c r="AN58" i="67" s="1"/>
  <c r="AN46" i="67"/>
  <c r="AN48" i="67" s="1"/>
  <c r="AN51" i="67"/>
  <c r="AN53" i="67" s="1"/>
  <c r="D18" i="24"/>
  <c r="S17" i="35" s="1"/>
  <c r="AK18" i="24"/>
  <c r="AK35" i="24" s="1"/>
  <c r="AJ38" i="24"/>
  <c r="D21" i="24"/>
  <c r="AM32" i="6"/>
  <c r="AM34" i="6"/>
  <c r="AL19" i="24" s="1"/>
  <c r="AL36" i="24" s="1"/>
  <c r="AL39" i="6"/>
  <c r="AN52" i="24"/>
  <c r="AN53" i="24" s="1"/>
  <c r="AP12" i="12"/>
  <c r="AO14" i="12"/>
  <c r="AO13" i="12"/>
  <c r="AM44" i="24"/>
  <c r="AL96" i="66"/>
  <c r="AK21" i="24" s="1"/>
  <c r="AK38" i="24" s="1"/>
  <c r="AN72" i="67"/>
  <c r="AN74" i="67"/>
  <c r="AN76" i="67" s="1"/>
  <c r="AN78" i="67"/>
  <c r="AN80" i="67" s="1"/>
  <c r="AM84" i="67"/>
  <c r="AQ22" i="23"/>
  <c r="AQ23" i="23" s="1"/>
  <c r="AS11" i="23"/>
  <c r="AR12" i="23"/>
  <c r="AN62" i="67"/>
  <c r="AM24" i="24" s="1"/>
  <c r="AN64" i="67"/>
  <c r="AM25" i="24" s="1"/>
  <c r="AM42" i="24" s="1"/>
  <c r="AL55" i="66"/>
  <c r="AL58" i="66" s="1"/>
  <c r="AM24" i="6"/>
  <c r="AM33" i="6" s="1"/>
  <c r="AL17" i="24" s="1"/>
  <c r="AL34" i="24" s="1"/>
  <c r="AM35" i="67"/>
  <c r="AM78" i="66"/>
  <c r="AM77" i="66"/>
  <c r="AN27" i="6"/>
  <c r="AN26" i="66"/>
  <c r="AN28" i="6"/>
  <c r="AN37" i="6" s="1"/>
  <c r="AM28" i="6"/>
  <c r="AM37" i="6" s="1"/>
  <c r="AM87" i="66"/>
  <c r="AM86" i="66"/>
  <c r="AM52" i="66"/>
  <c r="AM54" i="66" s="1"/>
  <c r="AM57" i="66" s="1"/>
  <c r="AM61" i="66"/>
  <c r="AM67" i="66" s="1"/>
  <c r="AP28" i="25"/>
  <c r="AP32" i="25"/>
  <c r="AN23" i="66"/>
  <c r="AN23" i="6"/>
  <c r="AN56" i="25"/>
  <c r="AR16" i="6"/>
  <c r="AQ18" i="6"/>
  <c r="AQ17" i="6"/>
  <c r="AO55" i="25"/>
  <c r="AO34" i="67" s="1"/>
  <c r="AO49" i="25"/>
  <c r="AO59" i="25"/>
  <c r="AO38" i="67" s="1"/>
  <c r="AO39" i="67" s="1"/>
  <c r="AO68" i="67" s="1"/>
  <c r="AO70" i="67" s="1"/>
  <c r="AP48" i="25"/>
  <c r="AQ27" i="25"/>
  <c r="AQ31" i="25"/>
  <c r="AR20" i="25"/>
  <c r="AQ21" i="25"/>
  <c r="AQ22" i="25"/>
  <c r="AP45" i="24"/>
  <c r="AQ31" i="11"/>
  <c r="AQ32" i="11"/>
  <c r="AQ35" i="11"/>
  <c r="AQ28" i="24" s="1"/>
  <c r="AQ41" i="25" l="1"/>
  <c r="AQ42" i="25" s="1"/>
  <c r="AN23" i="12"/>
  <c r="AN27" i="24" s="1"/>
  <c r="AO20" i="12"/>
  <c r="AO19" i="12"/>
  <c r="AO21" i="12"/>
  <c r="AO18" i="12"/>
  <c r="AM92" i="66"/>
  <c r="AM93" i="66"/>
  <c r="AN86" i="66"/>
  <c r="AN83" i="66"/>
  <c r="AN84" i="66"/>
  <c r="AN74" i="66"/>
  <c r="AN75" i="66"/>
  <c r="AR38" i="25"/>
  <c r="AR45" i="25"/>
  <c r="AR39" i="25"/>
  <c r="AR46" i="25"/>
  <c r="AL23" i="24"/>
  <c r="AN82" i="67"/>
  <c r="S19" i="35"/>
  <c r="D20" i="24"/>
  <c r="AM41" i="24"/>
  <c r="AN60" i="67"/>
  <c r="AO46" i="67"/>
  <c r="AO48" i="67" s="1"/>
  <c r="AO51" i="67"/>
  <c r="AO53" i="67" s="1"/>
  <c r="AO56" i="67"/>
  <c r="AO58" i="67" s="1"/>
  <c r="AL18" i="24"/>
  <c r="AL35" i="24" s="1"/>
  <c r="AM39" i="6"/>
  <c r="AN32" i="6"/>
  <c r="AM18" i="24" s="1"/>
  <c r="AM35" i="24" s="1"/>
  <c r="AN34" i="6"/>
  <c r="AM19" i="24" s="1"/>
  <c r="AM36" i="24" s="1"/>
  <c r="AQ12" i="12"/>
  <c r="AP14" i="12"/>
  <c r="AP13" i="12"/>
  <c r="AN44" i="24"/>
  <c r="AO52" i="24"/>
  <c r="AO53" i="24" s="1"/>
  <c r="AO74" i="67"/>
  <c r="AO76" i="67" s="1"/>
  <c r="AO78" i="67"/>
  <c r="AO80" i="67" s="1"/>
  <c r="AO72" i="67"/>
  <c r="AR22" i="23"/>
  <c r="AR23" i="23" s="1"/>
  <c r="AN84" i="67"/>
  <c r="AT11" i="23"/>
  <c r="AS12" i="23"/>
  <c r="AO62" i="67"/>
  <c r="AN24" i="24" s="1"/>
  <c r="AO64" i="67"/>
  <c r="AN25" i="24" s="1"/>
  <c r="AN42" i="24" s="1"/>
  <c r="AM55" i="66"/>
  <c r="AM58" i="66" s="1"/>
  <c r="AN61" i="66"/>
  <c r="AN67" i="66" s="1"/>
  <c r="AN87" i="66"/>
  <c r="AN77" i="66"/>
  <c r="AN78" i="66"/>
  <c r="AN24" i="6"/>
  <c r="AN33" i="6" s="1"/>
  <c r="AM17" i="24" s="1"/>
  <c r="AM34" i="24" s="1"/>
  <c r="AN35" i="67"/>
  <c r="AM66" i="66"/>
  <c r="AM96" i="66"/>
  <c r="AL21" i="24" s="1"/>
  <c r="AL38" i="24" s="1"/>
  <c r="AN52" i="66"/>
  <c r="AN55" i="66" s="1"/>
  <c r="AN58" i="66" s="1"/>
  <c r="AO26" i="66"/>
  <c r="AO27" i="6"/>
  <c r="AO60" i="25"/>
  <c r="AO40" i="67" s="1"/>
  <c r="AO23" i="66"/>
  <c r="AO23" i="6"/>
  <c r="AO56" i="25"/>
  <c r="AQ32" i="25"/>
  <c r="AQ28" i="25"/>
  <c r="AS16" i="6"/>
  <c r="AR18" i="6"/>
  <c r="AR17" i="6"/>
  <c r="AP49" i="25"/>
  <c r="AP59" i="25"/>
  <c r="AP38" i="67" s="1"/>
  <c r="AP39" i="67" s="1"/>
  <c r="AP68" i="67" s="1"/>
  <c r="AP70" i="67" s="1"/>
  <c r="AP55" i="25"/>
  <c r="AP34" i="67" s="1"/>
  <c r="AQ48" i="25"/>
  <c r="AR27" i="25"/>
  <c r="AR31" i="25"/>
  <c r="AS20" i="25"/>
  <c r="AR21" i="25"/>
  <c r="AR22" i="25"/>
  <c r="AQ45" i="24"/>
  <c r="AR31" i="11"/>
  <c r="AR32" i="11"/>
  <c r="AR35" i="11"/>
  <c r="AR28" i="24" s="1"/>
  <c r="AO23" i="12" l="1"/>
  <c r="AN92" i="66"/>
  <c r="AP18" i="12"/>
  <c r="AP19" i="12"/>
  <c r="AP21" i="12"/>
  <c r="AP20" i="12"/>
  <c r="AN93" i="66"/>
  <c r="AO83" i="66"/>
  <c r="AO84" i="66"/>
  <c r="AO74" i="66"/>
  <c r="AO75" i="66"/>
  <c r="AR41" i="25"/>
  <c r="AR42" i="25" s="1"/>
  <c r="AS38" i="25"/>
  <c r="AS45" i="25"/>
  <c r="AS39" i="25"/>
  <c r="AS46" i="25"/>
  <c r="AM23" i="24"/>
  <c r="AO82" i="67"/>
  <c r="AN66" i="66"/>
  <c r="AN41" i="24"/>
  <c r="AO60" i="67"/>
  <c r="AP51" i="67"/>
  <c r="AP53" i="67" s="1"/>
  <c r="AP46" i="67"/>
  <c r="AP48" i="67" s="1"/>
  <c r="AP56" i="67"/>
  <c r="AP58" i="67" s="1"/>
  <c r="AN96" i="66"/>
  <c r="AM21" i="24" s="1"/>
  <c r="AM38" i="24" s="1"/>
  <c r="AO27" i="24"/>
  <c r="AO44" i="24" s="1"/>
  <c r="AN39" i="6"/>
  <c r="AO32" i="6"/>
  <c r="AO34" i="6"/>
  <c r="AN19" i="24" s="1"/>
  <c r="AN36" i="24" s="1"/>
  <c r="AR12" i="12"/>
  <c r="AQ14" i="12"/>
  <c r="AQ13" i="12"/>
  <c r="AP52" i="24"/>
  <c r="AP53" i="24" s="1"/>
  <c r="AO84" i="67"/>
  <c r="AP78" i="67"/>
  <c r="AP80" i="67" s="1"/>
  <c r="AP74" i="67"/>
  <c r="AP76" i="67" s="1"/>
  <c r="AP72" i="67"/>
  <c r="AS22" i="23"/>
  <c r="AS23" i="23" s="1"/>
  <c r="AT12" i="23"/>
  <c r="AU11" i="23"/>
  <c r="AP64" i="67"/>
  <c r="AO25" i="24" s="1"/>
  <c r="AO42" i="24" s="1"/>
  <c r="AP62" i="67"/>
  <c r="AO24" i="24" s="1"/>
  <c r="AN54" i="66"/>
  <c r="AN57" i="66" s="1"/>
  <c r="AO24" i="6"/>
  <c r="AO33" i="6" s="1"/>
  <c r="AN17" i="24" s="1"/>
  <c r="AN34" i="24" s="1"/>
  <c r="AO35" i="67"/>
  <c r="AO78" i="66"/>
  <c r="AO77" i="66"/>
  <c r="AO87" i="66"/>
  <c r="AO86" i="66"/>
  <c r="AO28" i="6"/>
  <c r="AO37" i="6" s="1"/>
  <c r="AO52" i="66"/>
  <c r="AO54" i="66" s="1"/>
  <c r="AO57" i="66" s="1"/>
  <c r="AO61" i="66"/>
  <c r="AO66" i="66" s="1"/>
  <c r="AP60" i="25"/>
  <c r="AP40" i="67" s="1"/>
  <c r="AR28" i="25"/>
  <c r="AP23" i="66"/>
  <c r="AP23" i="6"/>
  <c r="AR32" i="25"/>
  <c r="AP56" i="25"/>
  <c r="AP26" i="66"/>
  <c r="AP27" i="6"/>
  <c r="AT16" i="6"/>
  <c r="AS17" i="6"/>
  <c r="AS18" i="6"/>
  <c r="AQ55" i="25"/>
  <c r="AQ34" i="67" s="1"/>
  <c r="AQ49" i="25"/>
  <c r="AQ59" i="25"/>
  <c r="AQ38" i="67" s="1"/>
  <c r="AQ39" i="67" s="1"/>
  <c r="AQ68" i="67" s="1"/>
  <c r="AQ70" i="67" s="1"/>
  <c r="AR48" i="25"/>
  <c r="AS27" i="25"/>
  <c r="AS31" i="25"/>
  <c r="AT20" i="25"/>
  <c r="AS21" i="25"/>
  <c r="AS22" i="25"/>
  <c r="AR45" i="24"/>
  <c r="AS31" i="11"/>
  <c r="AS32" i="11"/>
  <c r="AS35" i="11"/>
  <c r="AS28" i="24" s="1"/>
  <c r="AP23" i="12" l="1"/>
  <c r="AO93" i="66"/>
  <c r="AQ19" i="12"/>
  <c r="AQ18" i="12"/>
  <c r="AQ21" i="12"/>
  <c r="AQ20" i="12"/>
  <c r="AS41" i="25"/>
  <c r="AS42" i="25" s="1"/>
  <c r="AO92" i="66"/>
  <c r="AP83" i="66"/>
  <c r="AP84" i="66"/>
  <c r="AP75" i="66"/>
  <c r="AP74" i="66"/>
  <c r="AT38" i="25"/>
  <c r="AT45" i="25"/>
  <c r="AT39" i="25"/>
  <c r="AT46" i="25"/>
  <c r="AN23" i="24"/>
  <c r="AP82" i="67"/>
  <c r="AO41" i="24"/>
  <c r="AP60" i="67"/>
  <c r="AQ56" i="67"/>
  <c r="AQ58" i="67" s="1"/>
  <c r="AQ46" i="67"/>
  <c r="AQ48" i="67" s="1"/>
  <c r="AQ51" i="67"/>
  <c r="AQ53" i="67" s="1"/>
  <c r="AP27" i="24"/>
  <c r="AP44" i="24" s="1"/>
  <c r="AO39" i="6"/>
  <c r="AN18" i="24"/>
  <c r="AN35" i="24" s="1"/>
  <c r="AP32" i="6"/>
  <c r="AP34" i="6"/>
  <c r="AO19" i="24" s="1"/>
  <c r="AO36" i="24" s="1"/>
  <c r="AS12" i="12"/>
  <c r="AR14" i="12"/>
  <c r="AR13" i="12"/>
  <c r="AQ52" i="24"/>
  <c r="AQ53" i="24" s="1"/>
  <c r="AQ78" i="67"/>
  <c r="AQ80" i="67" s="1"/>
  <c r="AQ72" i="67"/>
  <c r="AQ74" i="67"/>
  <c r="AQ76" i="67" s="1"/>
  <c r="AP84" i="67"/>
  <c r="AT22" i="23"/>
  <c r="AT23" i="23" s="1"/>
  <c r="AU12" i="23"/>
  <c r="AV11" i="23"/>
  <c r="AQ64" i="67"/>
  <c r="AP25" i="24" s="1"/>
  <c r="AP42" i="24" s="1"/>
  <c r="AQ62" i="67"/>
  <c r="AP24" i="24" s="1"/>
  <c r="AO67" i="66"/>
  <c r="AO55" i="66"/>
  <c r="AO58" i="66" s="1"/>
  <c r="AO96" i="66"/>
  <c r="AN21" i="24" s="1"/>
  <c r="AN38" i="24" s="1"/>
  <c r="AP24" i="6"/>
  <c r="AP33" i="6" s="1"/>
  <c r="AO17" i="24" s="1"/>
  <c r="AO34" i="24" s="1"/>
  <c r="AP35" i="67"/>
  <c r="AP78" i="66"/>
  <c r="AP77" i="66"/>
  <c r="AP28" i="6"/>
  <c r="AP37" i="6" s="1"/>
  <c r="AP86" i="66"/>
  <c r="AP87" i="66"/>
  <c r="AP52" i="66"/>
  <c r="AP55" i="66" s="1"/>
  <c r="AP58" i="66" s="1"/>
  <c r="AP61" i="66"/>
  <c r="AP67" i="66" s="1"/>
  <c r="AS32" i="25"/>
  <c r="AS28" i="25"/>
  <c r="AQ56" i="25"/>
  <c r="AQ26" i="66"/>
  <c r="AQ27" i="6"/>
  <c r="AQ60" i="25"/>
  <c r="AQ40" i="67" s="1"/>
  <c r="AQ23" i="66"/>
  <c r="AQ23" i="6"/>
  <c r="AT18" i="6"/>
  <c r="AT17" i="6"/>
  <c r="AR49" i="25"/>
  <c r="AR59" i="25"/>
  <c r="AR38" i="67" s="1"/>
  <c r="AR39" i="67" s="1"/>
  <c r="AR68" i="67" s="1"/>
  <c r="AR70" i="67" s="1"/>
  <c r="AR55" i="25"/>
  <c r="AR34" i="67" s="1"/>
  <c r="AS48" i="25"/>
  <c r="AT27" i="25"/>
  <c r="AT31" i="25"/>
  <c r="AT21" i="25"/>
  <c r="AT22" i="25"/>
  <c r="AQ23" i="12" l="1"/>
  <c r="AQ27" i="24" s="1"/>
  <c r="AR18" i="12"/>
  <c r="AR19" i="12"/>
  <c r="AR21" i="12"/>
  <c r="AR20" i="12"/>
  <c r="AT41" i="25"/>
  <c r="AT42" i="25" s="1"/>
  <c r="AP92" i="66"/>
  <c r="AP93" i="66"/>
  <c r="AQ83" i="66"/>
  <c r="AQ84" i="66"/>
  <c r="AQ74" i="66"/>
  <c r="AQ75" i="66"/>
  <c r="AR23" i="12"/>
  <c r="AR27" i="24" s="1"/>
  <c r="AO23" i="24"/>
  <c r="AQ82" i="67"/>
  <c r="AP41" i="24"/>
  <c r="AQ60" i="67"/>
  <c r="AR51" i="67"/>
  <c r="AR53" i="67" s="1"/>
  <c r="AR56" i="67"/>
  <c r="AR58" i="67" s="1"/>
  <c r="AR46" i="67"/>
  <c r="AR48" i="67" s="1"/>
  <c r="AO18" i="24"/>
  <c r="AO35" i="24" s="1"/>
  <c r="AP39" i="6"/>
  <c r="AQ32" i="6"/>
  <c r="AQ34" i="6"/>
  <c r="AP19" i="24" s="1"/>
  <c r="AP36" i="24" s="1"/>
  <c r="AQ44" i="24"/>
  <c r="AT12" i="12"/>
  <c r="AS14" i="12"/>
  <c r="AS13" i="12"/>
  <c r="AR52" i="24"/>
  <c r="AR53" i="24" s="1"/>
  <c r="AR74" i="67"/>
  <c r="AR76" i="67" s="1"/>
  <c r="AR78" i="67"/>
  <c r="AR80" i="67" s="1"/>
  <c r="AR72" i="67"/>
  <c r="AU22" i="23"/>
  <c r="AU23" i="23" s="1"/>
  <c r="AQ84" i="67"/>
  <c r="AV12" i="23"/>
  <c r="AR64" i="67"/>
  <c r="AQ25" i="24" s="1"/>
  <c r="AQ42" i="24" s="1"/>
  <c r="AR62" i="67"/>
  <c r="AQ24" i="24" s="1"/>
  <c r="AP54" i="66"/>
  <c r="AP57" i="66" s="1"/>
  <c r="AP66" i="66"/>
  <c r="AQ77" i="66"/>
  <c r="AQ78" i="66"/>
  <c r="AQ24" i="6"/>
  <c r="AQ33" i="6" s="1"/>
  <c r="AP17" i="24" s="1"/>
  <c r="AP34" i="24" s="1"/>
  <c r="AQ35" i="67"/>
  <c r="AP96" i="66"/>
  <c r="AO21" i="24" s="1"/>
  <c r="AO38" i="24" s="1"/>
  <c r="AQ87" i="66"/>
  <c r="AQ86" i="66"/>
  <c r="AQ28" i="6"/>
  <c r="AQ37" i="6" s="1"/>
  <c r="AQ52" i="66"/>
  <c r="AQ54" i="66" s="1"/>
  <c r="AQ57" i="66" s="1"/>
  <c r="AQ61" i="66"/>
  <c r="AQ66" i="66" s="1"/>
  <c r="AR26" i="66"/>
  <c r="AR27" i="6"/>
  <c r="AR60" i="25"/>
  <c r="AR40" i="67" s="1"/>
  <c r="F46" i="25"/>
  <c r="AR23" i="66"/>
  <c r="AR23" i="6"/>
  <c r="F39" i="25"/>
  <c r="AR56" i="25"/>
  <c r="AS55" i="25"/>
  <c r="AS34" i="67" s="1"/>
  <c r="AS49" i="25"/>
  <c r="AS59" i="25"/>
  <c r="AS38" i="67" s="1"/>
  <c r="AS39" i="67" s="1"/>
  <c r="AS68" i="67" s="1"/>
  <c r="AS70" i="67" s="1"/>
  <c r="AT32" i="25"/>
  <c r="F31" i="25"/>
  <c r="AT48" i="25"/>
  <c r="F45" i="25"/>
  <c r="AT28" i="25"/>
  <c r="F27" i="25"/>
  <c r="AS45" i="24"/>
  <c r="D45" i="24" s="1"/>
  <c r="T24" i="35" s="1"/>
  <c r="S54" i="35" s="1"/>
  <c r="D28" i="24"/>
  <c r="S24" i="35" s="1"/>
  <c r="AS18" i="12" l="1"/>
  <c r="AS20" i="12"/>
  <c r="AS19" i="12"/>
  <c r="AS21" i="12"/>
  <c r="F41" i="25"/>
  <c r="AQ93" i="66"/>
  <c r="AQ92" i="66"/>
  <c r="AR84" i="66"/>
  <c r="AR83" i="66"/>
  <c r="AR75" i="66"/>
  <c r="AR74" i="66"/>
  <c r="AS23" i="12"/>
  <c r="AS27" i="24" s="1"/>
  <c r="AP23" i="24"/>
  <c r="AR82" i="67"/>
  <c r="AQ41" i="24"/>
  <c r="AR60" i="67"/>
  <c r="AS51" i="67"/>
  <c r="AS53" i="67" s="1"/>
  <c r="AS46" i="67"/>
  <c r="AS48" i="67" s="1"/>
  <c r="AS56" i="67"/>
  <c r="AS58" i="67" s="1"/>
  <c r="AP18" i="24"/>
  <c r="AP35" i="24" s="1"/>
  <c r="AQ39" i="6"/>
  <c r="AR32" i="6"/>
  <c r="AR34" i="6"/>
  <c r="AQ19" i="24" s="1"/>
  <c r="AS52" i="24"/>
  <c r="AS53" i="24" s="1"/>
  <c r="AT14" i="12"/>
  <c r="AT13" i="12"/>
  <c r="AR44" i="24"/>
  <c r="AS74" i="67"/>
  <c r="AS76" i="67" s="1"/>
  <c r="AS78" i="67"/>
  <c r="AS80" i="67" s="1"/>
  <c r="AS72" i="67"/>
  <c r="AV22" i="23"/>
  <c r="AV23" i="23" s="1"/>
  <c r="AR84" i="67"/>
  <c r="AQ55" i="66"/>
  <c r="AQ58" i="66" s="1"/>
  <c r="AS64" i="67"/>
  <c r="AR25" i="24" s="1"/>
  <c r="AS62" i="67"/>
  <c r="AR24" i="24" s="1"/>
  <c r="AQ67" i="66"/>
  <c r="AR77" i="66"/>
  <c r="AR78" i="66"/>
  <c r="AR24" i="6"/>
  <c r="AR33" i="6" s="1"/>
  <c r="AQ17" i="24" s="1"/>
  <c r="AQ34" i="24" s="1"/>
  <c r="AR35" i="67"/>
  <c r="AQ96" i="66"/>
  <c r="AP21" i="24" s="1"/>
  <c r="AP38" i="24" s="1"/>
  <c r="AR28" i="6"/>
  <c r="AR37" i="6" s="1"/>
  <c r="AR87" i="66"/>
  <c r="AR86" i="66"/>
  <c r="AR52" i="66"/>
  <c r="AR54" i="66" s="1"/>
  <c r="AR57" i="66" s="1"/>
  <c r="AR61" i="66"/>
  <c r="AR66" i="66" s="1"/>
  <c r="AS23" i="66"/>
  <c r="AS23" i="6"/>
  <c r="AS56" i="25"/>
  <c r="AS26" i="66"/>
  <c r="AS27" i="6"/>
  <c r="AS60" i="25"/>
  <c r="AS40" i="67" s="1"/>
  <c r="AT55" i="25"/>
  <c r="AT34" i="67" s="1"/>
  <c r="AT59" i="25"/>
  <c r="AT38" i="67" s="1"/>
  <c r="AT39" i="67" s="1"/>
  <c r="AT68" i="67" s="1"/>
  <c r="AT70" i="67" s="1"/>
  <c r="F28" i="25"/>
  <c r="F32" i="25"/>
  <c r="AT49" i="25"/>
  <c r="F48" i="25"/>
  <c r="AR93" i="66" l="1"/>
  <c r="AR92" i="66"/>
  <c r="AT20" i="12"/>
  <c r="AT21" i="12"/>
  <c r="AT19" i="12"/>
  <c r="AT18" i="12"/>
  <c r="AS83" i="66"/>
  <c r="AS84" i="66"/>
  <c r="AS74" i="66"/>
  <c r="AS75" i="66"/>
  <c r="AQ23" i="24"/>
  <c r="AS82" i="67"/>
  <c r="AR41" i="24"/>
  <c r="AS60" i="67"/>
  <c r="AT51" i="67"/>
  <c r="AT46" i="67"/>
  <c r="AT56" i="67"/>
  <c r="AQ18" i="24"/>
  <c r="AQ35" i="24" s="1"/>
  <c r="AR39" i="6"/>
  <c r="AQ36" i="24"/>
  <c r="AS32" i="6"/>
  <c r="AS34" i="6"/>
  <c r="AR19" i="24" s="1"/>
  <c r="AR36" i="24" s="1"/>
  <c r="AR42" i="24"/>
  <c r="AS44" i="24"/>
  <c r="AT52" i="24"/>
  <c r="AT78" i="67"/>
  <c r="AT74" i="67"/>
  <c r="AS84" i="67"/>
  <c r="AT62" i="67"/>
  <c r="AT64" i="67"/>
  <c r="F39" i="67"/>
  <c r="AR55" i="66"/>
  <c r="AR58" i="66" s="1"/>
  <c r="AR67" i="66"/>
  <c r="AR96" i="66"/>
  <c r="AQ21" i="24" s="1"/>
  <c r="AQ38" i="24" s="1"/>
  <c r="AS24" i="6"/>
  <c r="AS33" i="6" s="1"/>
  <c r="AR17" i="24" s="1"/>
  <c r="AR34" i="24" s="1"/>
  <c r="AS35" i="67"/>
  <c r="AS77" i="66"/>
  <c r="AS78" i="66"/>
  <c r="AS87" i="66"/>
  <c r="AS86" i="66"/>
  <c r="AS28" i="6"/>
  <c r="AS37" i="6" s="1"/>
  <c r="AS52" i="66"/>
  <c r="AS55" i="66" s="1"/>
  <c r="AS58" i="66" s="1"/>
  <c r="AS61" i="66"/>
  <c r="AS66" i="66" s="1"/>
  <c r="F55" i="25"/>
  <c r="F34" i="67" s="1"/>
  <c r="AT23" i="66"/>
  <c r="AT23" i="6"/>
  <c r="F59" i="25"/>
  <c r="F38" i="67" s="1"/>
  <c r="AT26" i="66"/>
  <c r="AT27" i="6"/>
  <c r="F42" i="25"/>
  <c r="AT56" i="25"/>
  <c r="AT35" i="67" s="1"/>
  <c r="F49" i="25"/>
  <c r="AT60" i="25"/>
  <c r="AT40" i="67" s="1"/>
  <c r="AS93" i="66" l="1"/>
  <c r="AS92" i="66"/>
  <c r="AT23" i="12"/>
  <c r="AT27" i="24" s="1"/>
  <c r="AT29" i="24" s="1"/>
  <c r="AT59" i="24" s="1"/>
  <c r="E18" i="12"/>
  <c r="C18" i="12"/>
  <c r="C19" i="12"/>
  <c r="E19" i="12"/>
  <c r="C21" i="12"/>
  <c r="E21" i="12"/>
  <c r="C20" i="12"/>
  <c r="E20" i="12"/>
  <c r="AT83" i="66"/>
  <c r="F83" i="66" s="1"/>
  <c r="AT84" i="66"/>
  <c r="F84" i="66" s="1"/>
  <c r="AT75" i="66"/>
  <c r="AT74" i="66"/>
  <c r="AR23" i="24"/>
  <c r="F62" i="67"/>
  <c r="AS24" i="24"/>
  <c r="D24" i="24" s="1"/>
  <c r="S21" i="35" s="1"/>
  <c r="AR18" i="24"/>
  <c r="AR35" i="24" s="1"/>
  <c r="AT32" i="6"/>
  <c r="F32" i="6" s="1"/>
  <c r="AT34" i="6"/>
  <c r="AS39" i="6"/>
  <c r="F64" i="67"/>
  <c r="AS25" i="24"/>
  <c r="AT44" i="24"/>
  <c r="AT53" i="24"/>
  <c r="AT72" i="67"/>
  <c r="F70" i="67"/>
  <c r="AT76" i="67"/>
  <c r="F76" i="67" s="1"/>
  <c r="F74" i="67"/>
  <c r="AT80" i="67"/>
  <c r="F78" i="67"/>
  <c r="AT53" i="67"/>
  <c r="F53" i="67" s="1"/>
  <c r="F51" i="67"/>
  <c r="AT58" i="67"/>
  <c r="F56" i="67"/>
  <c r="AT48" i="67"/>
  <c r="F48" i="67" s="1"/>
  <c r="F46" i="67"/>
  <c r="AS96" i="66"/>
  <c r="AR21" i="24" s="1"/>
  <c r="AR38" i="24" s="1"/>
  <c r="AS54" i="66"/>
  <c r="AS57" i="66" s="1"/>
  <c r="AT77" i="66"/>
  <c r="F77" i="66" s="1"/>
  <c r="AT78" i="66"/>
  <c r="F78" i="66" s="1"/>
  <c r="AS67" i="66"/>
  <c r="AT87" i="66"/>
  <c r="F87" i="66" s="1"/>
  <c r="AT86" i="66"/>
  <c r="F86" i="66" s="1"/>
  <c r="F68" i="67"/>
  <c r="AT52" i="66"/>
  <c r="AT54" i="66" s="1"/>
  <c r="AT57" i="66" s="1"/>
  <c r="AT61" i="66"/>
  <c r="AT66" i="66" s="1"/>
  <c r="F56" i="25"/>
  <c r="AT24" i="6"/>
  <c r="AT33" i="6" s="1"/>
  <c r="AS17" i="24" s="1"/>
  <c r="AS34" i="24" s="1"/>
  <c r="D34" i="24" s="1"/>
  <c r="F26" i="66"/>
  <c r="F27" i="6"/>
  <c r="F60" i="25"/>
  <c r="AT28" i="6"/>
  <c r="AT37" i="6" s="1"/>
  <c r="F37" i="6" s="1"/>
  <c r="F23" i="66"/>
  <c r="F23" i="6"/>
  <c r="AT46" i="24" l="1"/>
  <c r="AT58" i="24" s="1"/>
  <c r="F74" i="66"/>
  <c r="AT92" i="66"/>
  <c r="F92" i="66" s="1"/>
  <c r="R31" i="35" s="1"/>
  <c r="F75" i="66"/>
  <c r="AT93" i="66"/>
  <c r="F93" i="66" s="1"/>
  <c r="R32" i="35" s="1"/>
  <c r="AT82" i="67"/>
  <c r="F82" i="67" s="1"/>
  <c r="AT60" i="67"/>
  <c r="F72" i="67"/>
  <c r="F58" i="67"/>
  <c r="AS41" i="24"/>
  <c r="D41" i="24" s="1"/>
  <c r="T21" i="35" s="1"/>
  <c r="S51" i="35" s="1"/>
  <c r="AS19" i="24"/>
  <c r="F34" i="6"/>
  <c r="AT39" i="6"/>
  <c r="F39" i="6" s="1"/>
  <c r="AS18" i="24"/>
  <c r="AS35" i="24" s="1"/>
  <c r="D35" i="24" s="1"/>
  <c r="T17" i="35" s="1"/>
  <c r="S47" i="35" s="1"/>
  <c r="AS42" i="24"/>
  <c r="D42" i="24" s="1"/>
  <c r="T22" i="35" s="1"/>
  <c r="S52" i="35" s="1"/>
  <c r="D25" i="24"/>
  <c r="S22" i="35" s="1"/>
  <c r="T16" i="35"/>
  <c r="S46" i="35" s="1"/>
  <c r="AT84" i="67"/>
  <c r="F84" i="67" s="1"/>
  <c r="F80" i="67"/>
  <c r="AT96" i="66"/>
  <c r="AT67" i="66"/>
  <c r="AT55" i="66"/>
  <c r="AT58" i="66" s="1"/>
  <c r="F24" i="6"/>
  <c r="F35" i="67"/>
  <c r="F28" i="6"/>
  <c r="F40" i="67"/>
  <c r="F33" i="6"/>
  <c r="AS23" i="24" l="1"/>
  <c r="F60" i="67"/>
  <c r="AS36" i="24"/>
  <c r="D36" i="24" s="1"/>
  <c r="T18" i="35" s="1"/>
  <c r="S48" i="35" s="1"/>
  <c r="D19" i="24"/>
  <c r="S18" i="35" s="1"/>
  <c r="F96" i="66"/>
  <c r="AS21" i="24"/>
  <c r="AS38" i="24" s="1"/>
  <c r="D38" i="24" s="1"/>
  <c r="D37" i="24" s="1"/>
  <c r="E23" i="12"/>
  <c r="D33" i="24" l="1"/>
  <c r="D16" i="24"/>
  <c r="T19" i="35"/>
  <c r="S49" i="35" s="1"/>
  <c r="D27" i="24"/>
  <c r="S23" i="35" s="1"/>
  <c r="AB44" i="24"/>
  <c r="J23" i="35" s="1"/>
  <c r="T44" i="24"/>
  <c r="J15" i="35" s="1"/>
  <c r="AC44" i="24"/>
  <c r="J24" i="35" s="1"/>
  <c r="AJ44" i="24"/>
  <c r="AI44" i="24"/>
  <c r="J30" i="35" s="1"/>
  <c r="Y44" i="24"/>
  <c r="J20" i="35" s="1"/>
  <c r="V44" i="24"/>
  <c r="J17" i="35" s="1"/>
  <c r="AD44" i="24"/>
  <c r="J25" i="35" s="1"/>
  <c r="W44" i="24"/>
  <c r="J18" i="35" s="1"/>
  <c r="S44" i="24"/>
  <c r="J14" i="35" s="1"/>
  <c r="AH44" i="24"/>
  <c r="J29" i="35" s="1"/>
  <c r="Q44" i="24"/>
  <c r="AE44" i="24"/>
  <c r="J26" i="35" s="1"/>
  <c r="Z44" i="24"/>
  <c r="J21" i="35" s="1"/>
  <c r="U44" i="24"/>
  <c r="J16" i="35" s="1"/>
  <c r="AA44" i="24"/>
  <c r="J22" i="35" s="1"/>
  <c r="R44" i="24"/>
  <c r="J13" i="35" s="1"/>
  <c r="X44" i="24"/>
  <c r="J19" i="35" s="1"/>
  <c r="AF44" i="24"/>
  <c r="J27" i="35" s="1"/>
  <c r="AG44" i="24"/>
  <c r="J28" i="35" s="1"/>
  <c r="J12" i="35" l="1"/>
  <c r="J31" i="35" s="1"/>
  <c r="D44" i="24"/>
  <c r="D26" i="24"/>
  <c r="D43" i="24" l="1"/>
  <c r="T23" i="35"/>
  <c r="S53" i="35" s="1"/>
  <c r="F29" i="24" l="1"/>
  <c r="F40" i="24"/>
  <c r="F46" i="24" l="1"/>
  <c r="Z40" i="24"/>
  <c r="G21" i="35" s="1"/>
  <c r="L21" i="35" s="1"/>
  <c r="Z29" i="24"/>
  <c r="Z59" i="24" s="1"/>
  <c r="Z46" i="24" l="1"/>
  <c r="Z58" i="24" s="1"/>
  <c r="M11" i="35" l="1"/>
  <c r="M23" i="35"/>
  <c r="M13" i="35"/>
  <c r="F58" i="24"/>
  <c r="F59" i="24"/>
  <c r="M25" i="35"/>
  <c r="M15" i="35"/>
  <c r="M24" i="35"/>
  <c r="M12" i="35"/>
  <c r="M22" i="35"/>
  <c r="M16" i="35"/>
  <c r="M26" i="35"/>
  <c r="M14" i="35"/>
  <c r="M20" i="35"/>
  <c r="F60" i="24" l="1"/>
  <c r="F66" i="24" s="1"/>
  <c r="F61" i="24"/>
  <c r="M28" i="35"/>
  <c r="M10" i="35"/>
  <c r="M27" i="35"/>
  <c r="M21" i="35"/>
  <c r="N21" i="35" s="1"/>
  <c r="M30" i="35"/>
  <c r="M19" i="35"/>
  <c r="M18" i="35"/>
  <c r="M17" i="35"/>
  <c r="M29" i="35"/>
  <c r="F65" i="24" l="1"/>
  <c r="AB40" i="24"/>
  <c r="G23" i="35" s="1"/>
  <c r="L23" i="35" s="1"/>
  <c r="V40" i="24"/>
  <c r="G17" i="35" s="1"/>
  <c r="L17" i="35" s="1"/>
  <c r="W40" i="24"/>
  <c r="G18" i="35" s="1"/>
  <c r="L18" i="35" s="1"/>
  <c r="N29" i="24"/>
  <c r="R40" i="24"/>
  <c r="G13" i="35" s="1"/>
  <c r="L13" i="35" s="1"/>
  <c r="Y40" i="24"/>
  <c r="G20" i="35" s="1"/>
  <c r="L20" i="35" s="1"/>
  <c r="AC40" i="24" l="1"/>
  <c r="G24" i="35" s="1"/>
  <c r="L24" i="35" s="1"/>
  <c r="AA40" i="24"/>
  <c r="AA29" i="24"/>
  <c r="AA59" i="24" s="1"/>
  <c r="V29" i="24"/>
  <c r="V59" i="24" s="1"/>
  <c r="AB29" i="24"/>
  <c r="AB59" i="24" s="1"/>
  <c r="Y29" i="24"/>
  <c r="Y59" i="24" s="1"/>
  <c r="W29" i="24"/>
  <c r="W59" i="24" s="1"/>
  <c r="N40" i="24"/>
  <c r="M29" i="24"/>
  <c r="K29" i="24"/>
  <c r="H40" i="24"/>
  <c r="G3" i="35" s="1"/>
  <c r="L3" i="35" s="1"/>
  <c r="R29" i="24"/>
  <c r="R59" i="24" s="1"/>
  <c r="P29" i="24"/>
  <c r="P59" i="24" s="1"/>
  <c r="N13" i="35"/>
  <c r="R46" i="24"/>
  <c r="R58" i="24" s="1"/>
  <c r="W46" i="24"/>
  <c r="W58" i="24" s="1"/>
  <c r="N18" i="35"/>
  <c r="G40" i="24"/>
  <c r="G29" i="24"/>
  <c r="N20" i="35"/>
  <c r="Y46" i="24"/>
  <c r="Y58" i="24" s="1"/>
  <c r="V46" i="24"/>
  <c r="V58" i="24" s="1"/>
  <c r="N17" i="35"/>
  <c r="N23" i="35"/>
  <c r="AB46" i="24"/>
  <c r="AB58" i="24" s="1"/>
  <c r="N46" i="24" l="1"/>
  <c r="G9" i="35"/>
  <c r="L9" i="35" s="1"/>
  <c r="AA46" i="24"/>
  <c r="AA58" i="24" s="1"/>
  <c r="G22" i="35"/>
  <c r="L22" i="35" s="1"/>
  <c r="N22" i="35" s="1"/>
  <c r="G46" i="24"/>
  <c r="M40" i="24"/>
  <c r="AC29" i="24"/>
  <c r="AC59" i="24" s="1"/>
  <c r="K40" i="24"/>
  <c r="Q40" i="24"/>
  <c r="G12" i="35" s="1"/>
  <c r="L12" i="35" s="1"/>
  <c r="O29" i="24"/>
  <c r="L40" i="24"/>
  <c r="G7" i="35" s="1"/>
  <c r="L7" i="35" s="1"/>
  <c r="T29" i="24"/>
  <c r="T59" i="24" s="1"/>
  <c r="AD29" i="24"/>
  <c r="AD59" i="24" s="1"/>
  <c r="S40" i="24"/>
  <c r="G14" i="35" s="1"/>
  <c r="L14" i="35" s="1"/>
  <c r="P40" i="24"/>
  <c r="H29" i="24"/>
  <c r="J29" i="24"/>
  <c r="X40" i="24"/>
  <c r="G19" i="35" s="1"/>
  <c r="L19" i="35" s="1"/>
  <c r="U29" i="24"/>
  <c r="U59" i="24" s="1"/>
  <c r="N24" i="35"/>
  <c r="AC46" i="24"/>
  <c r="AC58" i="24" s="1"/>
  <c r="H46" i="24"/>
  <c r="G59" i="24"/>
  <c r="Q29" i="24"/>
  <c r="Q59" i="24" s="1"/>
  <c r="G8" i="35" l="1"/>
  <c r="L8" i="35" s="1"/>
  <c r="G6" i="35"/>
  <c r="L6" i="35" s="1"/>
  <c r="G11" i="35"/>
  <c r="L11" i="35" s="1"/>
  <c r="N11" i="35" s="1"/>
  <c r="K46" i="24"/>
  <c r="M46" i="24"/>
  <c r="O40" i="24"/>
  <c r="J40" i="24"/>
  <c r="T40" i="24"/>
  <c r="X29" i="24"/>
  <c r="X59" i="24" s="1"/>
  <c r="P46" i="24"/>
  <c r="P58" i="24" s="1"/>
  <c r="L29" i="24"/>
  <c r="S29" i="24"/>
  <c r="S59" i="24" s="1"/>
  <c r="U40" i="24"/>
  <c r="AD40" i="24"/>
  <c r="AE29" i="24"/>
  <c r="AE59" i="24" s="1"/>
  <c r="G61" i="24"/>
  <c r="Q46" i="24"/>
  <c r="Q58" i="24" s="1"/>
  <c r="N12" i="35"/>
  <c r="G58" i="24"/>
  <c r="L46" i="24"/>
  <c r="N14" i="35"/>
  <c r="S46" i="24"/>
  <c r="S58" i="24" s="1"/>
  <c r="I40" i="24"/>
  <c r="G4" i="35" s="1"/>
  <c r="I29" i="24"/>
  <c r="N19" i="35"/>
  <c r="X46" i="24"/>
  <c r="X58" i="24" s="1"/>
  <c r="O59" i="24"/>
  <c r="L4" i="35" l="1"/>
  <c r="U46" i="24"/>
  <c r="U58" i="24" s="1"/>
  <c r="G16" i="35"/>
  <c r="L16" i="35" s="1"/>
  <c r="N16" i="35" s="1"/>
  <c r="G15" i="35"/>
  <c r="L15" i="35" s="1"/>
  <c r="N15" i="35" s="1"/>
  <c r="G5" i="35"/>
  <c r="L5" i="35" s="1"/>
  <c r="O46" i="24"/>
  <c r="O58" i="24" s="1"/>
  <c r="G10" i="35"/>
  <c r="L10" i="35" s="1"/>
  <c r="N10" i="35" s="1"/>
  <c r="AD46" i="24"/>
  <c r="AD58" i="24" s="1"/>
  <c r="G25" i="35"/>
  <c r="L25" i="35" s="1"/>
  <c r="N25" i="35" s="1"/>
  <c r="J46" i="24"/>
  <c r="T46" i="24"/>
  <c r="T58" i="24" s="1"/>
  <c r="AE40" i="24"/>
  <c r="G60" i="24"/>
  <c r="G65" i="24"/>
  <c r="I46" i="24"/>
  <c r="AE46" i="24" l="1"/>
  <c r="AE58" i="24" s="1"/>
  <c r="G26" i="35"/>
  <c r="L26" i="35" s="1"/>
  <c r="N26" i="35" s="1"/>
  <c r="AG40" i="24"/>
  <c r="G28" i="35" s="1"/>
  <c r="L28" i="35" s="1"/>
  <c r="G66" i="24"/>
  <c r="AG29" i="24" l="1"/>
  <c r="AG59" i="24" s="1"/>
  <c r="AH29" i="24"/>
  <c r="AH59" i="24" s="1"/>
  <c r="AF29" i="24"/>
  <c r="AF40" i="24"/>
  <c r="G27" i="35" s="1"/>
  <c r="L27" i="35" s="1"/>
  <c r="AG46" i="24"/>
  <c r="AG58" i="24" s="1"/>
  <c r="N28" i="35"/>
  <c r="AH40" i="24" l="1"/>
  <c r="AF46" i="24"/>
  <c r="AF59" i="24"/>
  <c r="AH46" i="24" l="1"/>
  <c r="AH58" i="24" s="1"/>
  <c r="G29" i="35"/>
  <c r="AK40" i="24"/>
  <c r="AK46" i="24" s="1"/>
  <c r="AK58" i="24" s="1"/>
  <c r="AK29" i="24"/>
  <c r="AK59" i="24" s="1"/>
  <c r="AF58" i="24"/>
  <c r="AI40" i="24"/>
  <c r="G30" i="35" s="1"/>
  <c r="L30" i="35" s="1"/>
  <c r="AI29" i="24"/>
  <c r="L29" i="35" l="1"/>
  <c r="N29" i="35" s="1"/>
  <c r="G31" i="35"/>
  <c r="AL40" i="24"/>
  <c r="AL46" i="24" s="1"/>
  <c r="AL58" i="24" s="1"/>
  <c r="AL29" i="24"/>
  <c r="AL59" i="24" s="1"/>
  <c r="AI46" i="24"/>
  <c r="AI59" i="24"/>
  <c r="N27" i="35"/>
  <c r="AM40" i="24" l="1"/>
  <c r="AM46" i="24" s="1"/>
  <c r="AM58" i="24" s="1"/>
  <c r="AM29" i="24"/>
  <c r="AM59" i="24" s="1"/>
  <c r="AJ40" i="24"/>
  <c r="AJ29" i="24"/>
  <c r="L31" i="35"/>
  <c r="AI58" i="24"/>
  <c r="AN40" i="24" l="1"/>
  <c r="AN46" i="24" s="1"/>
  <c r="AN58" i="24" s="1"/>
  <c r="AN29" i="24"/>
  <c r="AN59" i="24" s="1"/>
  <c r="N30" i="35"/>
  <c r="AJ59" i="24"/>
  <c r="AJ46" i="24"/>
  <c r="AO40" i="24" l="1"/>
  <c r="AO46" i="24" s="1"/>
  <c r="AO58" i="24" s="1"/>
  <c r="AO29" i="24"/>
  <c r="AO59" i="24" s="1"/>
  <c r="AJ58" i="24"/>
  <c r="AP40" i="24" l="1"/>
  <c r="AP46" i="24" s="1"/>
  <c r="AP58" i="24" s="1"/>
  <c r="AP29" i="24"/>
  <c r="AP59" i="24" s="1"/>
  <c r="AQ40" i="24" l="1"/>
  <c r="AQ46" i="24" s="1"/>
  <c r="AQ29" i="24"/>
  <c r="AR40" i="24" l="1"/>
  <c r="AR46" i="24" s="1"/>
  <c r="AR58" i="24" s="1"/>
  <c r="AR29" i="24"/>
  <c r="AR59" i="24" s="1"/>
  <c r="AQ58" i="24"/>
  <c r="AQ59" i="24"/>
  <c r="AS29" i="24"/>
  <c r="AS59" i="24" l="1"/>
  <c r="D29" i="24"/>
  <c r="R6" i="35" s="1"/>
  <c r="AS40" i="24"/>
  <c r="D23" i="24"/>
  <c r="D22" i="24" l="1"/>
  <c r="S20" i="35"/>
  <c r="S25" i="35" s="1"/>
  <c r="D40" i="24"/>
  <c r="AS46" i="24"/>
  <c r="D46" i="24" s="1"/>
  <c r="D39" i="24" l="1"/>
  <c r="T20" i="35"/>
  <c r="AS58" i="24"/>
  <c r="E41" i="24"/>
  <c r="T25" i="35" l="1"/>
  <c r="S55" i="35" s="1"/>
  <c r="S50" i="35"/>
  <c r="E44" i="24"/>
  <c r="E38" i="24"/>
  <c r="E45" i="24"/>
  <c r="E34" i="24"/>
  <c r="E42" i="24"/>
  <c r="E36" i="24"/>
  <c r="E35" i="24"/>
  <c r="S6" i="35"/>
  <c r="E40" i="24"/>
  <c r="K17" i="23" l="1"/>
  <c r="L17" i="23"/>
  <c r="J17" i="23"/>
  <c r="N17" i="23"/>
  <c r="M17" i="23"/>
  <c r="O17" i="23"/>
  <c r="D17" i="23" l="1"/>
  <c r="J19" i="23" l="1"/>
  <c r="K19" i="23"/>
  <c r="J20" i="23"/>
  <c r="L20" i="23"/>
  <c r="K20" i="23"/>
  <c r="D20" i="23" l="1"/>
  <c r="K22" i="23"/>
  <c r="D19" i="23"/>
  <c r="I52" i="24" l="1"/>
  <c r="K23" i="23"/>
  <c r="I59" i="24" l="1"/>
  <c r="I53" i="24"/>
  <c r="I58" i="24" l="1"/>
  <c r="M4" i="35"/>
  <c r="N4" i="35" s="1"/>
  <c r="I16" i="49"/>
  <c r="L21" i="23"/>
  <c r="J18" i="23"/>
  <c r="K13" i="49"/>
  <c r="L18" i="23" s="1"/>
  <c r="M21" i="23" l="1"/>
  <c r="M22" i="23" s="1"/>
  <c r="P21" i="23"/>
  <c r="P22" i="23" s="1"/>
  <c r="O21" i="23"/>
  <c r="O22" i="23" s="1"/>
  <c r="D18" i="23"/>
  <c r="J17" i="49"/>
  <c r="I17" i="49"/>
  <c r="L22" i="23"/>
  <c r="J52" i="24"/>
  <c r="L23" i="23"/>
  <c r="M23" i="23"/>
  <c r="K52" i="24"/>
  <c r="J22" i="23"/>
  <c r="N21" i="23"/>
  <c r="N22" i="23" s="1"/>
  <c r="P23" i="23" l="1"/>
  <c r="N52" i="24"/>
  <c r="M52" i="24"/>
  <c r="O23" i="23"/>
  <c r="L52" i="24"/>
  <c r="N23" i="23"/>
  <c r="D21" i="23"/>
  <c r="H52" i="24"/>
  <c r="J23" i="23"/>
  <c r="D22" i="23"/>
  <c r="D123" i="4" s="1"/>
  <c r="K59" i="24"/>
  <c r="K53" i="24"/>
  <c r="J59" i="24"/>
  <c r="J53" i="24"/>
  <c r="M53" i="24" l="1"/>
  <c r="M59" i="24"/>
  <c r="N53" i="24"/>
  <c r="N59" i="24"/>
  <c r="D23" i="23"/>
  <c r="J58" i="24"/>
  <c r="M5" i="35"/>
  <c r="N5" i="35" s="1"/>
  <c r="K58" i="24"/>
  <c r="M6" i="35"/>
  <c r="N6" i="35" s="1"/>
  <c r="H53" i="24"/>
  <c r="D52" i="24"/>
  <c r="R7" i="35" s="1"/>
  <c r="H59" i="24"/>
  <c r="L53" i="24"/>
  <c r="L59" i="24"/>
  <c r="M9" i="35" l="1"/>
  <c r="N9" i="35" s="1"/>
  <c r="N58" i="24"/>
  <c r="M58" i="24"/>
  <c r="M8" i="35"/>
  <c r="N8" i="35" s="1"/>
  <c r="M7" i="35"/>
  <c r="N7" i="35" s="1"/>
  <c r="L58" i="24"/>
  <c r="H61" i="24"/>
  <c r="D59" i="24"/>
  <c r="D53" i="24"/>
  <c r="D57" i="24" s="1"/>
  <c r="F4" i="36" s="1"/>
  <c r="M3" i="35"/>
  <c r="H58" i="24"/>
  <c r="H60" i="24" l="1"/>
  <c r="D58" i="24"/>
  <c r="E4" i="36" s="1"/>
  <c r="M31" i="35"/>
  <c r="N3" i="35"/>
  <c r="N31" i="35" s="1"/>
  <c r="S7" i="35"/>
  <c r="I61" i="24"/>
  <c r="H65" i="24"/>
  <c r="I65" i="24" l="1"/>
  <c r="J61" i="24"/>
  <c r="R9" i="35"/>
  <c r="R8" i="35"/>
  <c r="N8" i="36"/>
  <c r="I60" i="24"/>
  <c r="H66" i="24"/>
  <c r="I66" i="24" l="1"/>
  <c r="J60" i="24"/>
  <c r="O8" i="36"/>
  <c r="P8" i="36" s="1"/>
  <c r="G4" i="36"/>
  <c r="J65" i="24"/>
  <c r="K61" i="24"/>
  <c r="K65" i="24" l="1"/>
  <c r="L61" i="24"/>
  <c r="J66" i="24"/>
  <c r="K60" i="24"/>
  <c r="M61" i="24" l="1"/>
  <c r="L65" i="24"/>
  <c r="K66" i="24"/>
  <c r="L60" i="24"/>
  <c r="L66" i="24" l="1"/>
  <c r="M60" i="24"/>
  <c r="M65" i="24"/>
  <c r="N61" i="24"/>
  <c r="O61" i="24" l="1"/>
  <c r="N65" i="24"/>
  <c r="N60" i="24"/>
  <c r="M66" i="24"/>
  <c r="O60" i="24" l="1"/>
  <c r="N66" i="24"/>
  <c r="P61" i="24"/>
  <c r="O65" i="24"/>
  <c r="Q61" i="24" l="1"/>
  <c r="P65" i="24"/>
  <c r="O66" i="24"/>
  <c r="P60" i="24"/>
  <c r="Q60" i="24" l="1"/>
  <c r="P66" i="24"/>
  <c r="Q65" i="24"/>
  <c r="R61" i="24"/>
  <c r="S61" i="24" l="1"/>
  <c r="R65" i="24"/>
  <c r="Q66" i="24"/>
  <c r="R60" i="24"/>
  <c r="S60" i="24" l="1"/>
  <c r="R66" i="24"/>
  <c r="T61" i="24"/>
  <c r="S65" i="24"/>
  <c r="U61" i="24" l="1"/>
  <c r="T65" i="24"/>
  <c r="S66" i="24"/>
  <c r="T60" i="24"/>
  <c r="U60" i="24" l="1"/>
  <c r="T66" i="24"/>
  <c r="U65" i="24"/>
  <c r="V61" i="24"/>
  <c r="W61" i="24" l="1"/>
  <c r="V65" i="24"/>
  <c r="U66" i="24"/>
  <c r="V60" i="24"/>
  <c r="W60" i="24" l="1"/>
  <c r="V66" i="24"/>
  <c r="X61" i="24"/>
  <c r="W65" i="24"/>
  <c r="Y61" i="24" l="1"/>
  <c r="X65" i="24"/>
  <c r="W66" i="24"/>
  <c r="X60" i="24"/>
  <c r="Y60" i="24" l="1"/>
  <c r="X66" i="24"/>
  <c r="Y65" i="24"/>
  <c r="Z61" i="24"/>
  <c r="AA61" i="24" l="1"/>
  <c r="Z65" i="24"/>
  <c r="Z60" i="24"/>
  <c r="Y66" i="24"/>
  <c r="AA60" i="24" l="1"/>
  <c r="Z66" i="24"/>
  <c r="AB61" i="24"/>
  <c r="AA65" i="24"/>
  <c r="AC61" i="24" l="1"/>
  <c r="AB65" i="24"/>
  <c r="AA66" i="24"/>
  <c r="AB60" i="24"/>
  <c r="AC60" i="24" l="1"/>
  <c r="AB66" i="24"/>
  <c r="AC65" i="24"/>
  <c r="AD61" i="24"/>
  <c r="AE61" i="24" l="1"/>
  <c r="AD65" i="24"/>
  <c r="AD60" i="24"/>
  <c r="AC66" i="24"/>
  <c r="AE60" i="24" l="1"/>
  <c r="AD66" i="24"/>
  <c r="AF61" i="24"/>
  <c r="AE65" i="24"/>
  <c r="AG61" i="24" l="1"/>
  <c r="AF65" i="24"/>
  <c r="AE66" i="24"/>
  <c r="AF60" i="24"/>
  <c r="AG60" i="24" l="1"/>
  <c r="AF66" i="24"/>
  <c r="AG65" i="24"/>
  <c r="AH61" i="24"/>
  <c r="AI61" i="24" l="1"/>
  <c r="AH65" i="24"/>
  <c r="AH60" i="24"/>
  <c r="AG66" i="24"/>
  <c r="AI60" i="24" l="1"/>
  <c r="AH66" i="24"/>
  <c r="AJ61" i="24"/>
  <c r="AI65" i="24"/>
  <c r="AK61" i="24" l="1"/>
  <c r="AJ65" i="24"/>
  <c r="AI66" i="24"/>
  <c r="AJ60" i="24"/>
  <c r="AK60" i="24" l="1"/>
  <c r="AJ66" i="24"/>
  <c r="AK65" i="24"/>
  <c r="AL61" i="24"/>
  <c r="AM61" i="24" l="1"/>
  <c r="AL65" i="24"/>
  <c r="AL60" i="24"/>
  <c r="AK66" i="24"/>
  <c r="AM60" i="24" l="1"/>
  <c r="AL66" i="24"/>
  <c r="AN61" i="24"/>
  <c r="AM65" i="24"/>
  <c r="AO61" i="24" l="1"/>
  <c r="AN65" i="24"/>
  <c r="AM66" i="24"/>
  <c r="AN60" i="24"/>
  <c r="AO60" i="24" l="1"/>
  <c r="AN66" i="24"/>
  <c r="AO65" i="24"/>
  <c r="AP61" i="24"/>
  <c r="AQ61" i="24" l="1"/>
  <c r="AP65" i="24"/>
  <c r="AP60" i="24"/>
  <c r="AO66" i="24"/>
  <c r="AP66" i="24" l="1"/>
  <c r="AQ60" i="24"/>
  <c r="AR61" i="24"/>
  <c r="AQ65" i="24"/>
  <c r="AS61" i="24" l="1"/>
  <c r="AR65" i="24"/>
  <c r="AR60" i="24"/>
  <c r="AQ66" i="24"/>
  <c r="AS60" i="24" l="1"/>
  <c r="AR66" i="24"/>
  <c r="AS65" i="24"/>
  <c r="AT61" i="24"/>
  <c r="AT65" i="24" l="1"/>
  <c r="C65" i="24" s="1"/>
  <c r="D65" i="24" s="1"/>
  <c r="R11" i="35" s="1"/>
  <c r="D62" i="24"/>
  <c r="R10" i="35" s="1"/>
  <c r="AS66" i="24"/>
  <c r="AT60" i="24"/>
  <c r="AT66" i="24" s="1"/>
  <c r="C66" i="2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<sst xmlns="http://schemas.openxmlformats.org/spreadsheetml/2006/main" count="2237" uniqueCount="1101">
  <si>
    <t>Alabama Port Authority</t>
  </si>
  <si>
    <t>Port of Mobile’s Terminal Railway State Docks Interchange Yard Improvement Project (New Horizons Project)</t>
  </si>
  <si>
    <t>Consolidated Rail Infrastructure and Safety Improvements (CRISI) Grant Program</t>
  </si>
  <si>
    <t>Disclaimer</t>
  </si>
  <si>
    <t/>
  </si>
  <si>
    <t>By retaining and using this Model, the Recipients represent to HDR that they are capable of making their own independent assessment as to the validity of the assumptions, data and results contained in this Model.</t>
  </si>
  <si>
    <t>The Model may be a development version and may not be complete or, in the event that development of the Model has concluded, material events may have occurred since completion which are not reflected in the Model. In consultation with the client, HDR used what was deemed the best available data at the time of analysis and makes no warranties as to the accuracy of this information or completeness of the Model.</t>
  </si>
  <si>
    <t xml:space="preserve">Contents </t>
  </si>
  <si>
    <t>BCA</t>
  </si>
  <si>
    <t>Assumptions &amp; Inputs</t>
  </si>
  <si>
    <t>Project Schedule</t>
  </si>
  <si>
    <t>Summary Sheet</t>
  </si>
  <si>
    <t>Costs</t>
  </si>
  <si>
    <t>Summary</t>
  </si>
  <si>
    <t>Sensitivity Analysis</t>
  </si>
  <si>
    <t>Miles Analysis</t>
  </si>
  <si>
    <t>Traffic Calcs</t>
  </si>
  <si>
    <t>Mobility Benefits</t>
  </si>
  <si>
    <t>Safety</t>
  </si>
  <si>
    <t>Env &amp; Comm Benefits</t>
  </si>
  <si>
    <t>Hwy Pavement Benefits</t>
  </si>
  <si>
    <t>O&amp;M Savings Benefits</t>
  </si>
  <si>
    <t xml:space="preserve">Residual Value Benefits </t>
  </si>
  <si>
    <t>West Yard Cost</t>
  </si>
  <si>
    <t>ASPA Interchange Yard 30% Design Cost Estimate (West Yard)</t>
  </si>
  <si>
    <t>East Yard Cost</t>
  </si>
  <si>
    <t>ASPA Interchange Yard 30% Design Cost Estimate (East Yard)</t>
  </si>
  <si>
    <t>Truck FAF Data</t>
  </si>
  <si>
    <t>Rail FAF Data</t>
  </si>
  <si>
    <t>MOVES</t>
  </si>
  <si>
    <t>Emissions Rates MOVES</t>
  </si>
  <si>
    <t>Inflation</t>
  </si>
  <si>
    <t>Table 1.1.9. Implicit Price Deflators for Gross Domestic Product</t>
  </si>
  <si>
    <t>USDOTBCA_GuidanceFY2026</t>
  </si>
  <si>
    <t>U.S. Department of Transportation</t>
  </si>
  <si>
    <t>Parameters</t>
  </si>
  <si>
    <t>Value</t>
  </si>
  <si>
    <t>Base Year</t>
  </si>
  <si>
    <t>Project Start Year</t>
  </si>
  <si>
    <t xml:space="preserve">Last Year of Analysis </t>
  </si>
  <si>
    <t>Benefits Period (years)</t>
  </si>
  <si>
    <t xml:space="preserve">Discount Rate </t>
  </si>
  <si>
    <t>Year</t>
  </si>
  <si>
    <t>Discount Factor (7.0%)</t>
  </si>
  <si>
    <t>Project Operations Flag</t>
  </si>
  <si>
    <t>Units</t>
  </si>
  <si>
    <t>Total</t>
  </si>
  <si>
    <t xml:space="preserve">Undiscounted Project Benefits </t>
  </si>
  <si>
    <t>Improved Mobility of People and Goods</t>
  </si>
  <si>
    <t xml:space="preserve">Total Travel Time Savings </t>
  </si>
  <si>
    <t>2024 $</t>
  </si>
  <si>
    <t xml:space="preserve">Total Vehicle Operating Cost Savings </t>
  </si>
  <si>
    <t xml:space="preserve">Total Externalities Congestion Savings </t>
  </si>
  <si>
    <t xml:space="preserve">Total Crash Cost Savings </t>
  </si>
  <si>
    <t>Environmental and Community Benefits</t>
  </si>
  <si>
    <t>Total CAC Emissions Cost Savings</t>
  </si>
  <si>
    <t xml:space="preserve">Total Emissions Externalities Savings </t>
  </si>
  <si>
    <t xml:space="preserve">Total Noise Externalities Savings </t>
  </si>
  <si>
    <t>State of Good Repair</t>
  </si>
  <si>
    <t xml:space="preserve">Total O&amp;M Cost Savings </t>
  </si>
  <si>
    <t xml:space="preserve">Total Residual Value Benefits </t>
  </si>
  <si>
    <t xml:space="preserve">Net Undiscounted Benefits </t>
  </si>
  <si>
    <t xml:space="preserve">Discounted Project Benefits </t>
  </si>
  <si>
    <t xml:space="preserve">Total Discounted Benefits </t>
  </si>
  <si>
    <t>Project Costs</t>
  </si>
  <si>
    <t xml:space="preserve">Capital Costs </t>
  </si>
  <si>
    <t>Sensitivity</t>
  </si>
  <si>
    <t xml:space="preserve">Undiscounted Total Annual Capital Cost </t>
  </si>
  <si>
    <t xml:space="preserve">Discounted Total Annual Capital Cost </t>
  </si>
  <si>
    <t>BCA Metrics</t>
  </si>
  <si>
    <t>BCR</t>
  </si>
  <si>
    <t>ratio</t>
  </si>
  <si>
    <t xml:space="preserve">Discounted Net Present Value </t>
  </si>
  <si>
    <t>Undiscounted Net Present Value</t>
  </si>
  <si>
    <t xml:space="preserve">Cumulative Net Discounted Benefits </t>
  </si>
  <si>
    <t xml:space="preserve">Cumulative Net Undiscounted Benefits </t>
  </si>
  <si>
    <t>Internal Rate of Return (IRR)</t>
  </si>
  <si>
    <t>%</t>
  </si>
  <si>
    <t>Payback</t>
  </si>
  <si>
    <t>Period</t>
  </si>
  <si>
    <t>Undiscounted Payback Year</t>
  </si>
  <si>
    <t xml:space="preserve">Discounted Payback Period </t>
  </si>
  <si>
    <t>Source</t>
  </si>
  <si>
    <t xml:space="preserve">General Economic Factors </t>
  </si>
  <si>
    <t>Orange Shaded means sensitivity applied</t>
  </si>
  <si>
    <t>Metric Ton to Gram</t>
  </si>
  <si>
    <t>metric ton to gram</t>
  </si>
  <si>
    <t>Known</t>
  </si>
  <si>
    <t>Short Ton to Metric Ton</t>
  </si>
  <si>
    <t>us ton / metric ton</t>
  </si>
  <si>
    <t>Work Days</t>
  </si>
  <si>
    <t>days/year</t>
  </si>
  <si>
    <t>Project Assumption</t>
  </si>
  <si>
    <t>Base Year (for discounting)</t>
  </si>
  <si>
    <t xml:space="preserve">year </t>
  </si>
  <si>
    <t>U.S.DOT Benefit-Cost Analysis Guidance for Discretionary Grant Programs - December 2025</t>
  </si>
  <si>
    <t xml:space="preserve">Project Spending Start Year </t>
  </si>
  <si>
    <t>Project Spending End Year</t>
  </si>
  <si>
    <t>years</t>
  </si>
  <si>
    <t>Project Open Year</t>
  </si>
  <si>
    <t>Year of Pre-incurred Construction and Design Costs</t>
  </si>
  <si>
    <t>year</t>
  </si>
  <si>
    <t>Last year of Analysis</t>
  </si>
  <si>
    <t>Benefits Period</t>
  </si>
  <si>
    <t xml:space="preserve">General Discount Rate </t>
  </si>
  <si>
    <t>Demand Projections</t>
  </si>
  <si>
    <t>General</t>
  </si>
  <si>
    <t>Roundtrip Factor</t>
  </si>
  <si>
    <t>factor</t>
  </si>
  <si>
    <t>Growth Rate at Port of Mobile</t>
  </si>
  <si>
    <t>FAF5 Growth Rate between 2024-2040 for Trucks, which is the most conservative modal growth rate</t>
  </si>
  <si>
    <t>Year FAF Data is Presented</t>
  </si>
  <si>
    <t>yr</t>
  </si>
  <si>
    <t>FAF5 Model Run</t>
  </si>
  <si>
    <t>Implementation Period</t>
  </si>
  <si>
    <t>yrs</t>
  </si>
  <si>
    <t>Project Assumption based on similar port project schedules</t>
  </si>
  <si>
    <t>Tons per Container Assumption</t>
  </si>
  <si>
    <t>tons</t>
  </si>
  <si>
    <t>Conservative Project Assumption based on Industry Standards for a 20-ft Container</t>
  </si>
  <si>
    <t>Trucks</t>
  </si>
  <si>
    <t>Rest of AL - Truck Trip Miles - No Build</t>
  </si>
  <si>
    <t>truck-miles</t>
  </si>
  <si>
    <t>Rest of AL - Truck Trip Miles - Build</t>
  </si>
  <si>
    <t>Rest of AL - Truck Trip Miles - (Project Impacts / Implementation Period)</t>
  </si>
  <si>
    <t>Rest of AL - Inferred Truck Miles</t>
  </si>
  <si>
    <t>Assumed Truck Average Speed</t>
  </si>
  <si>
    <t>mph</t>
  </si>
  <si>
    <t>Project Assumption based on Highway Speed Limits</t>
  </si>
  <si>
    <t>Rail</t>
  </si>
  <si>
    <t>Rest of AL - Containers- No Build</t>
  </si>
  <si>
    <t>containers</t>
  </si>
  <si>
    <t>Rest of AL - Inferred Rail Miles</t>
  </si>
  <si>
    <t>rail-miles</t>
  </si>
  <si>
    <t>Rest of AL - Inferred Container Miles</t>
  </si>
  <si>
    <t>Rest of AL - Inferred Ton Miles</t>
  </si>
  <si>
    <t>Rest of AL - Trains- No Build</t>
  </si>
  <si>
    <t>trains</t>
  </si>
  <si>
    <t>Rest of AL - Containers- Build</t>
  </si>
  <si>
    <t>Rest of AL - Trains- Build</t>
  </si>
  <si>
    <t>Rest of AL - Rail Trip Miles- No Build</t>
  </si>
  <si>
    <t>Rest of AL - Rail Trip Miles - Build</t>
  </si>
  <si>
    <t>Rest of AL - Rail Trip Miles - (Project Impacts / Implementation Period)</t>
  </si>
  <si>
    <t>Estimated Miles Traveled on Rail</t>
  </si>
  <si>
    <t>miles</t>
  </si>
  <si>
    <t>Distance between Mobile and the Montgomery inland port</t>
  </si>
  <si>
    <t>Number of Containers per Train</t>
  </si>
  <si>
    <t>no.</t>
  </si>
  <si>
    <t>Project Information</t>
  </si>
  <si>
    <t>Intermodal Train Speed</t>
  </si>
  <si>
    <t>CSX data for April 2024</t>
  </si>
  <si>
    <t>https://www.csx.com/index.cfm/about-us/the-csx-advantage/fuel-efficiency/</t>
  </si>
  <si>
    <t>Train Efficiency Metric (TMPG)</t>
  </si>
  <si>
    <t>ton-mile per gallon</t>
  </si>
  <si>
    <t>2025 CSX System wide train efficiency metric</t>
  </si>
  <si>
    <t>Empty Container Factor</t>
  </si>
  <si>
    <t>Project Assumptions</t>
  </si>
  <si>
    <t>Diversion Probability</t>
  </si>
  <si>
    <t>Montgomery Rail Corridor Distance</t>
  </si>
  <si>
    <t>Google Maps</t>
  </si>
  <si>
    <t>Drayage Truck Miles Addition</t>
  </si>
  <si>
    <t xml:space="preserve">Travel Time Inputs </t>
  </si>
  <si>
    <t>Passenger Vehicle Average Occupancy (AVO) (All Travel)</t>
  </si>
  <si>
    <t>persons/vehicle</t>
  </si>
  <si>
    <t>Truck Vehicle Average Occupancy (AVO)</t>
  </si>
  <si>
    <t>Value of Time, Personal</t>
  </si>
  <si>
    <t>2024 $/hour</t>
  </si>
  <si>
    <t xml:space="preserve">Value of Time, Business </t>
  </si>
  <si>
    <t>Value of Time, All purpose</t>
  </si>
  <si>
    <t>Value of Time, Truck Drivers</t>
  </si>
  <si>
    <t>Freight Train - Hauling Operating Costs</t>
  </si>
  <si>
    <t>U.S.DOT Benefit-Cost Analysis Guidance for Discretionary Grant Programs - December 2025
Includes fuel costs, depreciation and labor costs</t>
  </si>
  <si>
    <t>Vehicle Operating Costs</t>
  </si>
  <si>
    <t xml:space="preserve">Light Duty Vehicles </t>
  </si>
  <si>
    <t>2024 $/mile</t>
  </si>
  <si>
    <t>U.S.DOT Benefit-Cost Analysis Guidance for Discretionary Grant Programs - December 2025
Excludes Driver Wages</t>
  </si>
  <si>
    <t xml:space="preserve">Commercial Trucks </t>
  </si>
  <si>
    <t xml:space="preserve">Emissions Inputs </t>
  </si>
  <si>
    <t>Truck</t>
  </si>
  <si>
    <t>Truck - SOx</t>
  </si>
  <si>
    <t>g/mile</t>
  </si>
  <si>
    <t>varies</t>
  </si>
  <si>
    <t>MOVES run for Trucks at 55 mph for both Build and No Build, Mobile County, Alabama</t>
  </si>
  <si>
    <t>Truck - Nox</t>
  </si>
  <si>
    <t>Truck - PM2.5</t>
  </si>
  <si>
    <t>Rail - Nox</t>
  </si>
  <si>
    <t>g/gallon</t>
  </si>
  <si>
    <t>https://www.epa.gov/system/files/documents/2023-01/2020_NEI_Rail_062722.pdf</t>
  </si>
  <si>
    <r>
      <t>Rail - PM</t>
    </r>
    <r>
      <rPr>
        <vertAlign val="subscript"/>
        <sz val="11"/>
        <rFont val="Calibri"/>
        <family val="2"/>
        <scheme val="minor"/>
      </rPr>
      <t>2.5</t>
    </r>
  </si>
  <si>
    <r>
      <t>Rail - SO</t>
    </r>
    <r>
      <rPr>
        <vertAlign val="subscript"/>
        <sz val="11"/>
        <rFont val="Calibri"/>
        <family val="2"/>
        <scheme val="minor"/>
      </rPr>
      <t>x</t>
    </r>
  </si>
  <si>
    <t>Damage Costs for Emissions (Nox, PM2.5, SO2)</t>
  </si>
  <si>
    <t>$/metric ton</t>
  </si>
  <si>
    <t>=USDOTBCA_GuidanceFY2026!B157:E196</t>
  </si>
  <si>
    <t>Tons per Metric ton</t>
  </si>
  <si>
    <t>ton/metric ton</t>
  </si>
  <si>
    <t>Grams per Metric Tons</t>
  </si>
  <si>
    <t>g/metric ton</t>
  </si>
  <si>
    <t xml:space="preserve">Safety Inputs </t>
  </si>
  <si>
    <t>Alabama VMT CAGR</t>
  </si>
  <si>
    <t>ALABAMA DEPARTMENT OF TRANSPORTATION
DRIVESAFE ALABAMA.ORG - 2023 Fact Book - 4 Year Average</t>
  </si>
  <si>
    <t>Alabama Vehicles Miles Traveled (VMT) - 2024</t>
  </si>
  <si>
    <t>vehicle-miles</t>
  </si>
  <si>
    <t>ALABAMA DEPARTMENT OF TRANSPORTATION
DRIVESAFE ALABAMA.ORG - 2024 Fact Book</t>
  </si>
  <si>
    <t>Number of Fatalities - 4 Yr Average</t>
  </si>
  <si>
    <t>fatalities</t>
  </si>
  <si>
    <t>Number of Fatal Crashes</t>
  </si>
  <si>
    <t>fatal crashes</t>
  </si>
  <si>
    <t>Fatalities involving Trains - 2024</t>
  </si>
  <si>
    <t>Injuries involving Trains - 2024</t>
  </si>
  <si>
    <t>injuries</t>
  </si>
  <si>
    <t>Number of Serious Injuries - 2024</t>
  </si>
  <si>
    <t>serious injuries</t>
  </si>
  <si>
    <t>Total Non-Fatal Injuries</t>
  </si>
  <si>
    <t>Alabama Fatality Rate per 100 Million VMT - 4 Yr Average</t>
  </si>
  <si>
    <t>fatality per 100M vehicle-mile</t>
  </si>
  <si>
    <t>Alabama Train Miles Traveled (TMT) - 2023</t>
  </si>
  <si>
    <t>Train-miles</t>
  </si>
  <si>
    <t>FRA Safety - Previous CRISI Submission</t>
  </si>
  <si>
    <t>Kabco Level</t>
  </si>
  <si>
    <t>K - Killed</t>
  </si>
  <si>
    <t>2024 $/ fatality</t>
  </si>
  <si>
    <t>2024 $/ injury</t>
  </si>
  <si>
    <t>U - Injured (Severity Unknown)</t>
  </si>
  <si>
    <t xml:space="preserve">Residual Value </t>
  </si>
  <si>
    <t>F &amp; I Storm Drains</t>
  </si>
  <si>
    <t>Remaining Useful Life (yrs)</t>
  </si>
  <si>
    <t>HDR Rail Expert based on West Yard Construction Components</t>
  </si>
  <si>
    <t xml:space="preserve">Construct Track (136# Rail, Wood Ties, OTM) </t>
  </si>
  <si>
    <t>F&amp; I Ballast</t>
  </si>
  <si>
    <t>F &amp; I Sub ballast</t>
  </si>
  <si>
    <t>F &amp; I # 10 LH Turnout</t>
  </si>
  <si>
    <t>HDR Rail Expert based on East Yard Construction Components</t>
  </si>
  <si>
    <t>F &amp; I # 10 RH Turnout</t>
  </si>
  <si>
    <t>Project Cost 2024$</t>
  </si>
  <si>
    <t>2024$</t>
  </si>
  <si>
    <t>Project Related Input based on Projected Costs</t>
  </si>
  <si>
    <t>External Highway Use Costs: Noise. Emissions and Congestion Values</t>
  </si>
  <si>
    <t>Buses and Trucks - Urban - Congestion</t>
  </si>
  <si>
    <t>Buses and Trucks - Rural- Congestion</t>
  </si>
  <si>
    <t>Buses and Trucks - Weighted Average- Congestion</t>
  </si>
  <si>
    <t>Buses and Trucks - Urban - Noise</t>
  </si>
  <si>
    <t>Buses and Trucks - Rural - Noise</t>
  </si>
  <si>
    <t>Buses and Trucks - Weighted Average- Noise</t>
  </si>
  <si>
    <t>Buses and Trucks - Urban - Emissions</t>
  </si>
  <si>
    <t>Buses and Trucks - Rural - Emissions</t>
  </si>
  <si>
    <t>Buses and Trucks - Weighted Average- Emissions</t>
  </si>
  <si>
    <t>Rural - Weighting</t>
  </si>
  <si>
    <t>Project Assumption based on Geography</t>
  </si>
  <si>
    <t>Urban - Weighting</t>
  </si>
  <si>
    <t>2024 Dollars</t>
  </si>
  <si>
    <t>East Yard Total Estimated Cost:</t>
  </si>
  <si>
    <t>West Yard Total Cost:</t>
  </si>
  <si>
    <t>Total Estimated Project Cost (2024$):</t>
  </si>
  <si>
    <t>East Yard Track Storage Length:</t>
  </si>
  <si>
    <t>Yard Track 30</t>
  </si>
  <si>
    <t>Track Feet (TF)</t>
  </si>
  <si>
    <t>Yard Track 31</t>
  </si>
  <si>
    <t>Yard Track 32</t>
  </si>
  <si>
    <t>Yard Track 1</t>
  </si>
  <si>
    <t>Construction Phase</t>
  </si>
  <si>
    <t>start</t>
  </si>
  <si>
    <t>end</t>
  </si>
  <si>
    <t>% spending</t>
  </si>
  <si>
    <t>No. of Yrs</t>
  </si>
  <si>
    <t>Total Project Cost</t>
  </si>
  <si>
    <t>Yard Track 2</t>
  </si>
  <si>
    <t>Project Admin / Project Mgmt.</t>
  </si>
  <si>
    <t>Yard Track 3</t>
  </si>
  <si>
    <t>preliminary engineering completion</t>
  </si>
  <si>
    <t>Yard Track 4</t>
  </si>
  <si>
    <t>Permitting and Fees</t>
  </si>
  <si>
    <t>Total East Yard Storage Length:</t>
  </si>
  <si>
    <t>final design completion</t>
  </si>
  <si>
    <t>Assumed to be 10% of total cnostruction costs based on similar projects</t>
  </si>
  <si>
    <t>construction substantial completion</t>
  </si>
  <si>
    <t>West Yard Track Storage Length:</t>
  </si>
  <si>
    <t>Total Construction Costs</t>
  </si>
  <si>
    <t>Yard Track 5</t>
  </si>
  <si>
    <t>Project Schedule provided by Alabama Port Authority Engineering Team</t>
  </si>
  <si>
    <t>Yard Track 6</t>
  </si>
  <si>
    <t>Yard Track 7</t>
  </si>
  <si>
    <t>Yard Track 8</t>
  </si>
  <si>
    <t>Yard Track 9</t>
  </si>
  <si>
    <t>Total West Yard Storage Length:</t>
  </si>
  <si>
    <t>Total Proposed Yard Storage Length:</t>
  </si>
  <si>
    <t xml:space="preserve">Costs </t>
  </si>
  <si>
    <t xml:space="preserve">Discount Factor </t>
  </si>
  <si>
    <t>Project Admin / Project Mgmt</t>
  </si>
  <si>
    <t>Preliminary Engineering Completion</t>
  </si>
  <si>
    <t>NEPA Reevaluation Completion</t>
  </si>
  <si>
    <t>Final Design Completion</t>
  </si>
  <si>
    <t>Construction Substantial Completion</t>
  </si>
  <si>
    <t>Annual Capital Costs (Non-Discounted)</t>
  </si>
  <si>
    <t>Project Costs (Discounted)</t>
  </si>
  <si>
    <t>CY</t>
  </si>
  <si>
    <t>Travel Time Savings</t>
  </si>
  <si>
    <t>Vehicle Operating Cost Savings</t>
  </si>
  <si>
    <t>Total Benefits</t>
  </si>
  <si>
    <t>Total Capital Costs</t>
  </si>
  <si>
    <t>Net Present Value</t>
  </si>
  <si>
    <t>Project Evaluation Metric</t>
  </si>
  <si>
    <t>Undiscounted</t>
  </si>
  <si>
    <t>Discounted</t>
  </si>
  <si>
    <t>Total Benefits ($ millions)</t>
  </si>
  <si>
    <t>Total Costs ($ millions)</t>
  </si>
  <si>
    <t>Net Present Value ($ millions)</t>
  </si>
  <si>
    <t>Benefit - Cost Ratio</t>
  </si>
  <si>
    <t>Internal Rate of Return (%)</t>
  </si>
  <si>
    <t>Payback Period (years)</t>
  </si>
  <si>
    <t>National Grant</t>
  </si>
  <si>
    <t>Benefit Categories</t>
  </si>
  <si>
    <t>Undiscounted ($ millions)</t>
  </si>
  <si>
    <t>Discounted ($ millions)</t>
  </si>
  <si>
    <t>Merit Criteria</t>
  </si>
  <si>
    <t xml:space="preserve">Travel Time Savings </t>
  </si>
  <si>
    <t xml:space="preserve">Vehicle Operating Cost Savings </t>
  </si>
  <si>
    <t>Externalities Congestion Savings</t>
  </si>
  <si>
    <t xml:space="preserve">Crash Cost Savings </t>
  </si>
  <si>
    <t>CAC Emissions Cost Savings</t>
  </si>
  <si>
    <t>Emissions Externalities Savings</t>
  </si>
  <si>
    <t>Noise Externalities Savings</t>
  </si>
  <si>
    <t>O&amp;M Cost Savings</t>
  </si>
  <si>
    <t>Residual Value Benefits</t>
  </si>
  <si>
    <t>Total Benefit Estimates</t>
  </si>
  <si>
    <t>Safety Benefits to be included in Technical Appendix and Grant Narrative</t>
  </si>
  <si>
    <t>Total Avoided Fatalities (K) due to Project</t>
  </si>
  <si>
    <t>Total Avoided Injuries (U &amp; A) due to Project</t>
  </si>
  <si>
    <t>Over 20-Yr Analysis Period</t>
  </si>
  <si>
    <t xml:space="preserve">Manually write the word "yes" in the Criteria column, replacing "no", to activate each sensitivity
Note: Only one criterium can be set to "yes" at a time </t>
  </si>
  <si>
    <t>Criteria (Yes/No)</t>
  </si>
  <si>
    <t>Change in Parameter Value</t>
  </si>
  <si>
    <t>New NPV (Discounted) $millions</t>
  </si>
  <si>
    <t>New B/C Ratio</t>
  </si>
  <si>
    <t>Base = TRUE
Sensitivity = FALSE</t>
  </si>
  <si>
    <t>Yes/No</t>
  </si>
  <si>
    <t>Base/Sensitivity Tested</t>
  </si>
  <si>
    <t>n/a</t>
  </si>
  <si>
    <t>Base Results</t>
  </si>
  <si>
    <t>Discount Rate</t>
  </si>
  <si>
    <t>no</t>
  </si>
  <si>
    <t>7% to 3.1%</t>
  </si>
  <si>
    <t>Project Cost Estimate</t>
  </si>
  <si>
    <t>10% overall increase in capital costs</t>
  </si>
  <si>
    <t>yes</t>
  </si>
  <si>
    <t>10% overall decrease in capital costs</t>
  </si>
  <si>
    <t>Results Showing are Base Results</t>
  </si>
  <si>
    <t xml:space="preserve">Mobile Volumes Growth Rate </t>
  </si>
  <si>
    <t>Half current growth rate</t>
  </si>
  <si>
    <t>Whichever sensitivity is set to "yes"</t>
  </si>
  <si>
    <t>0% growth</t>
  </si>
  <si>
    <t xml:space="preserve">Diversion Probability </t>
  </si>
  <si>
    <t>One and a half-assumed diversion probability</t>
  </si>
  <si>
    <t>Half assumed diversion probability</t>
  </si>
  <si>
    <t>Number of Tons per Container</t>
  </si>
  <si>
    <t>Assuming one container is one truck</t>
  </si>
  <si>
    <t>Truck Trips</t>
  </si>
  <si>
    <t>X</t>
  </si>
  <si>
    <t>Tons</t>
  </si>
  <si>
    <t>Ton-miles</t>
  </si>
  <si>
    <t>Miles</t>
  </si>
  <si>
    <t>Containers</t>
  </si>
  <si>
    <t>Container</t>
  </si>
  <si>
    <t>Container Miles</t>
  </si>
  <si>
    <t xml:space="preserve"> </t>
  </si>
  <si>
    <t>FAF5 Truck</t>
  </si>
  <si>
    <t>FAF5 Rail</t>
  </si>
  <si>
    <t>Inferred from FAF5</t>
  </si>
  <si>
    <t>Base Case Units Water-to-Truck</t>
  </si>
  <si>
    <t>Base Case Units Water - to-Rails</t>
  </si>
  <si>
    <t>Base Case Miles Water-to-Truck</t>
  </si>
  <si>
    <t>Base Case Miles Water - to-Rail</t>
  </si>
  <si>
    <t>Base Case Units Total Combined</t>
  </si>
  <si>
    <t xml:space="preserve">Base Case Miles Combined </t>
  </si>
  <si>
    <t>Base Case Truck Daily</t>
  </si>
  <si>
    <t>Base Case Rail Daily</t>
  </si>
  <si>
    <t xml:space="preserve">Un-Constrained  Montgomery Design Units </t>
  </si>
  <si>
    <t xml:space="preserve">Un-Constrained Montgomery  Miles </t>
  </si>
  <si>
    <t xml:space="preserve">Constrained by Probability Add'l  Rail Units </t>
  </si>
  <si>
    <t>Constrained by Probability Add'l  Rail  Miles</t>
  </si>
  <si>
    <t>Additional Drayage Miles associated with Rail Miles</t>
  </si>
  <si>
    <t>Build Case Units Water-to-Truck</t>
  </si>
  <si>
    <t>Build Case Units Water - to-Rails</t>
  </si>
  <si>
    <t>Build Case Miles Water-to-Truck</t>
  </si>
  <si>
    <t>Build Case Miles Water - to-Rail</t>
  </si>
  <si>
    <t>Build Case Units Total Combined</t>
  </si>
  <si>
    <t xml:space="preserve">Build Case Miles Combined </t>
  </si>
  <si>
    <t>Row Labels</t>
  </si>
  <si>
    <t>Sum of thousand tons in 2024</t>
  </si>
  <si>
    <t>Sum of million ton-miles in 2024</t>
  </si>
  <si>
    <t>Inferred Truck Miles Hauled</t>
  </si>
  <si>
    <t>Inferred Rail Miles Hauled</t>
  </si>
  <si>
    <t>Inbound Containers = Tons / 19 T per Container</t>
  </si>
  <si>
    <t>Inbound Containers = Tons / 19 T per Cont. + Empty Cont. = .21 * 19 T</t>
  </si>
  <si>
    <t>Base Case Miles = Inbound Containers * Inferred Miles</t>
  </si>
  <si>
    <t>Truck and Rail</t>
  </si>
  <si>
    <t>260-4=256 Workdays</t>
  </si>
  <si>
    <t>Montgomery = Initially 60,000 TEU; 42,900 Loads; 62,205 Total Trips (Inbound,Export,Empty) / 256 Days</t>
  </si>
  <si>
    <t>Design Cap'y. Substitutes Rail (165) for Truck (168) Miles between Mobile and Montgomery</t>
  </si>
  <si>
    <t>Diverted Units Col. 7  x  Probability</t>
  </si>
  <si>
    <t>Diverted Miles Col. 9 x Probability</t>
  </si>
  <si>
    <t>Addition to Water to Truck Col 12 x 35 mi.</t>
  </si>
  <si>
    <t>Inbound Base Case minus Units Diverted to Rail</t>
  </si>
  <si>
    <t>Inbound Base Case plus Units Diverted to Rail</t>
  </si>
  <si>
    <t>Build Case Miles</t>
  </si>
  <si>
    <t>011-Birmingham AL</t>
  </si>
  <si>
    <t>AL</t>
  </si>
  <si>
    <t>012-Mobile AL</t>
  </si>
  <si>
    <t>na</t>
  </si>
  <si>
    <t>019-Rest of AL</t>
  </si>
  <si>
    <t>Reference List</t>
  </si>
  <si>
    <t>Values</t>
  </si>
  <si>
    <t>Truck Trip Miles</t>
  </si>
  <si>
    <t>Round Trip</t>
  </si>
  <si>
    <t>Rail Trip Miles</t>
  </si>
  <si>
    <t>Base Case Number of Trains</t>
  </si>
  <si>
    <t>End of Implementation Period - Truck</t>
  </si>
  <si>
    <t>End of Implementation Period - Rail</t>
  </si>
  <si>
    <t>No Build</t>
  </si>
  <si>
    <t>CAGR</t>
  </si>
  <si>
    <t>Truck Miles</t>
  </si>
  <si>
    <t>Truck Hours</t>
  </si>
  <si>
    <t>Rail Miles</t>
  </si>
  <si>
    <t>Rail Hours</t>
  </si>
  <si>
    <t>Build</t>
  </si>
  <si>
    <t>Additional/Reduced Miles</t>
  </si>
  <si>
    <t>Existing Truck Miles</t>
  </si>
  <si>
    <t>Build Truck Miles</t>
  </si>
  <si>
    <t>Existing Rail Miles</t>
  </si>
  <si>
    <t>Build Rail Miles</t>
  </si>
  <si>
    <t>Project Impacts</t>
  </si>
  <si>
    <t>Unit</t>
  </si>
  <si>
    <t>Average Vehicle Occupancy (Trucks)</t>
  </si>
  <si>
    <t>occupancy</t>
  </si>
  <si>
    <t>$/hr</t>
  </si>
  <si>
    <t>Commercial Trucks - VOC</t>
  </si>
  <si>
    <t>$/mile</t>
  </si>
  <si>
    <t>Truck Operating Costs</t>
  </si>
  <si>
    <t>Truck Driver Value of Time</t>
  </si>
  <si>
    <t>Externalities Congestion Benefits</t>
  </si>
  <si>
    <t>Rail Hauling Operating Costs</t>
  </si>
  <si>
    <t>Total Mobility Benefits</t>
  </si>
  <si>
    <t>Safety Benefits</t>
  </si>
  <si>
    <t>Annual Travel time savings Benefit</t>
  </si>
  <si>
    <t>Number of Fatalities - 2024</t>
  </si>
  <si>
    <t>Vehicles</t>
  </si>
  <si>
    <t>Statewide Alabama VMT - 2024</t>
  </si>
  <si>
    <t>Fatality Rate 4-year average</t>
  </si>
  <si>
    <t>Fatality Rate</t>
  </si>
  <si>
    <t>Serious Injury Rate</t>
  </si>
  <si>
    <t>Alabama Rail Miles Traveled - 2023</t>
  </si>
  <si>
    <t>Unknown Injury Rate</t>
  </si>
  <si>
    <t>Alabama VMT - 2024</t>
  </si>
  <si>
    <t>Results</t>
  </si>
  <si>
    <t>Avoided Fatalities</t>
  </si>
  <si>
    <t>Avoided Serious Injuries</t>
  </si>
  <si>
    <t>Avoided Fatalities ($)</t>
  </si>
  <si>
    <t>Avoided Serious Injuries ($)</t>
  </si>
  <si>
    <t>Avoided Unknown Injuries</t>
  </si>
  <si>
    <t>Avoided Unknown Injuries ($)</t>
  </si>
  <si>
    <t>Total Safety Benefits</t>
  </si>
  <si>
    <t>Total Avoided Fatalities (K)</t>
  </si>
  <si>
    <t>Total Avoided Injuries (U &amp; A)</t>
  </si>
  <si>
    <t>Total Safety Benefit ($)</t>
  </si>
  <si>
    <t>g</t>
  </si>
  <si>
    <t>Rail Ton-Miles</t>
  </si>
  <si>
    <t>NOx Emissions Rates (short ton/mile)</t>
  </si>
  <si>
    <t>NOx Emissions (Metric Ton)</t>
  </si>
  <si>
    <t>Nox Unit Cost</t>
  </si>
  <si>
    <t>Value of Nox</t>
  </si>
  <si>
    <t>SO2 Emissions Rates (short ton/mile)</t>
  </si>
  <si>
    <t>SO2 Emissions (Metric Ton)</t>
  </si>
  <si>
    <t>SO2 Unit Cost</t>
  </si>
  <si>
    <t>Value of SO2</t>
  </si>
  <si>
    <t>PM2.5 Emissions Rates  (short ton/mile)</t>
  </si>
  <si>
    <t>PM2.5 Emissions (Metric Ton)</t>
  </si>
  <si>
    <t>PM2.5 Unit Cost</t>
  </si>
  <si>
    <t>Value of PM2.5</t>
  </si>
  <si>
    <t>Total CAC Truck Emissions Cost Savings</t>
  </si>
  <si>
    <t>Emissions Externality Calculation</t>
  </si>
  <si>
    <t>Noise Externality Calculation</t>
  </si>
  <si>
    <t>Rail Fuel Consumption (Gallons)</t>
  </si>
  <si>
    <t>Total CAC Rail Emissions Cost Savings</t>
  </si>
  <si>
    <t>Total Environmental and Community Benefits</t>
  </si>
  <si>
    <t>Dollar Year</t>
  </si>
  <si>
    <t>O&amp;M Component</t>
  </si>
  <si>
    <t># of Units</t>
  </si>
  <si>
    <t>Cost per Maintenance</t>
  </si>
  <si>
    <t>Frequency</t>
  </si>
  <si>
    <t>Tie &amp; Rail Replacement - annually at $300 per tie replacement</t>
  </si>
  <si>
    <t>Tie &amp; Rail Replacement</t>
  </si>
  <si>
    <t>Maintenance at year 20 for ties &amp; rail is spread out evenly over the 20-yr analysis period</t>
  </si>
  <si>
    <t>Electrical - $30,000 every three years</t>
  </si>
  <si>
    <t>Electrical</t>
  </si>
  <si>
    <t>Periodic Inspections - $40,000 every six years</t>
  </si>
  <si>
    <t>Periodic Inspection</t>
  </si>
  <si>
    <t>Pavement Maintenance - $10,000 every nine years</t>
  </si>
  <si>
    <t>Pavement Maintenance</t>
  </si>
  <si>
    <t>Changed to Dollar Year 2024 in the Analysis</t>
  </si>
  <si>
    <t>Project Year Replacement is Expected for Tie &amp; Rail</t>
  </si>
  <si>
    <t>Number of Maintenance Regimens during study period</t>
  </si>
  <si>
    <t xml:space="preserve">Undiscounted O&amp;M Cost Savings </t>
  </si>
  <si>
    <t xml:space="preserve">Cost Descriptions for Residuals </t>
  </si>
  <si>
    <t>East/West Yards</t>
  </si>
  <si>
    <t>Useful Life (Years)</t>
  </si>
  <si>
    <t>Remaining Useful Life (Years)</t>
  </si>
  <si>
    <t xml:space="preserve">Value </t>
  </si>
  <si>
    <t>Inflation (2026-2024)</t>
  </si>
  <si>
    <t>West Yard</t>
  </si>
  <si>
    <t>Material: Concrete</t>
  </si>
  <si>
    <t>East Yard</t>
  </si>
  <si>
    <t xml:space="preserve">*Cost for residuals does not include costs related to labor and only includes cost of materials that will retain </t>
  </si>
  <si>
    <t>Total 2024$</t>
  </si>
  <si>
    <t xml:space="preserve">Undiscounted Total Residual Value </t>
  </si>
  <si>
    <t>APA Interchange Yard 30% Design Cost Estimate (West Yard)</t>
  </si>
  <si>
    <t xml:space="preserve">  Description</t>
  </si>
  <si>
    <t>Quantity</t>
  </si>
  <si>
    <t>Unit Price</t>
  </si>
  <si>
    <t>Amount</t>
  </si>
  <si>
    <t>Notes</t>
  </si>
  <si>
    <t>Earthwork</t>
  </si>
  <si>
    <t>Clearing &amp; Grubbing</t>
  </si>
  <si>
    <t>Acre</t>
  </si>
  <si>
    <t>Excavation (To be used on site)</t>
  </si>
  <si>
    <t>Embankment (Hauled to site)</t>
  </si>
  <si>
    <t>Approximate fill height for yard = 4-feet. Add 3-feet from undercut.</t>
  </si>
  <si>
    <t>Excavation (Undercut) - Contractor Disposes of Waste Off Site</t>
  </si>
  <si>
    <t>Undercut average of 3-feet. Assumption based on geotechnical report.</t>
  </si>
  <si>
    <t>Subtotal:</t>
  </si>
  <si>
    <t>Erosion Control</t>
  </si>
  <si>
    <t>F &amp; I Seeding &amp; Mulching</t>
  </si>
  <si>
    <t>F &amp; I Silt Fence</t>
  </si>
  <si>
    <t>LF</t>
  </si>
  <si>
    <t>F &amp; I Rock Check Dams</t>
  </si>
  <si>
    <t>F &amp; I Rip Rap</t>
  </si>
  <si>
    <t>F &amp; I Filter Fabric for Erosion Control</t>
  </si>
  <si>
    <t>SY</t>
  </si>
  <si>
    <t>F &amp; I Erosion Control Filter Ring</t>
  </si>
  <si>
    <t>Each</t>
  </si>
  <si>
    <t>Use LS for 30% Design</t>
  </si>
  <si>
    <t>Roadway</t>
  </si>
  <si>
    <t>F &amp; I New Signs</t>
  </si>
  <si>
    <t>LS</t>
  </si>
  <si>
    <t>Civil Site</t>
  </si>
  <si>
    <t>Remove and Dispose of Existing Fence</t>
  </si>
  <si>
    <t>Install Chain Link Fence, 8' High</t>
  </si>
  <si>
    <t>Construct Culverts and Construct Headwall</t>
  </si>
  <si>
    <t>Remove Storm Drain</t>
  </si>
  <si>
    <t>Assumption: Will refine in subsequent design phase.</t>
  </si>
  <si>
    <t>Utilities</t>
  </si>
  <si>
    <t>Railroad agreements will determine if utility companies or railroad will pay for utility relocations.</t>
  </si>
  <si>
    <t>Assumes all utility relocations and removals will be done for the East yard construction.</t>
  </si>
  <si>
    <t>Relocate Existing Electric Poles and Wires</t>
  </si>
  <si>
    <t>Remove Existing Electric Poles and Wires</t>
  </si>
  <si>
    <t>Relocate Transmission Poles and Wires</t>
  </si>
  <si>
    <t>Trackwork</t>
  </si>
  <si>
    <t>TF</t>
  </si>
  <si>
    <t>Shift Existing Track (Cut &amp; Throw)</t>
  </si>
  <si>
    <t>Remove Existing Track</t>
  </si>
  <si>
    <t>F &amp; I # 10 Equilateral Turnout Near Bridge</t>
  </si>
  <si>
    <t>Hazmat</t>
  </si>
  <si>
    <t>Assumption</t>
  </si>
  <si>
    <t>Right-of-Way</t>
  </si>
  <si>
    <t>Right-of-Way Acquisition</t>
  </si>
  <si>
    <t>Construction Cost - Subtotal:</t>
  </si>
  <si>
    <t>Contingency:</t>
  </si>
  <si>
    <t>For 30% design, a 25% contingency is typically added. As the design progresses with more detail, the contingency will be reduced.</t>
  </si>
  <si>
    <t>General Conditions</t>
  </si>
  <si>
    <t>Construction Administration</t>
  </si>
  <si>
    <t>Permit and Fees</t>
  </si>
  <si>
    <t>Includes environmental.</t>
  </si>
  <si>
    <t>Bonding &amp; Insurance</t>
  </si>
  <si>
    <t>Construction Cost - TOTAL:</t>
  </si>
  <si>
    <t>Estimate does not include building demolition.</t>
  </si>
  <si>
    <t>West Yard Track Storage:</t>
  </si>
  <si>
    <t>APA Interchange Yard 30% Design Cost Estimate (East Yard)</t>
  </si>
  <si>
    <t>Includes Proposed yard Tracks 30, 31 &amp; 32</t>
  </si>
  <si>
    <t>Approximate fill height for yard = 3.5-feet. Add 3-feet from undercut.</t>
  </si>
  <si>
    <t>Remove and Dispose of Existing Grade Crossing at North tie-in Across Industrial Canal Road</t>
  </si>
  <si>
    <t>Remove existing grade crossing at south tie-in, will be replaced with new grade crossing.</t>
  </si>
  <si>
    <t>Construct New Asphalt Grade Crossing at North tie-in Across Industrial Canal Road</t>
  </si>
  <si>
    <t>Includes full depth pavement construction and rubber grade crossing material.</t>
  </si>
  <si>
    <t>Construct New Asphalt Grade Crossing over Yard Track 32, Yard Track 1 and Yard Lead</t>
  </si>
  <si>
    <t>Construct New Asphalt Grade Crossing over Yard Tracks 1, 2, 3, 4 &amp; 5 (Relocated Industrial Canal Road)</t>
  </si>
  <si>
    <t>Remove and Dispose of Existing Grade Crossing at South tie-in Across Industrial Canal Road</t>
  </si>
  <si>
    <t>Construct New Asphalt Grade Crossing at South tie-in Across Industrial Canal Road</t>
  </si>
  <si>
    <t>Remove and Dispose of Existing Roadway Pavement</t>
  </si>
  <si>
    <t>Construct 30' Wide Asphalt Roadway (Relocated Industrial Canal Road)</t>
  </si>
  <si>
    <t>Full depth bituminous pavement.</t>
  </si>
  <si>
    <t>Relocate Existing Signs</t>
  </si>
  <si>
    <t>Two outfalls to Three Mile Creek.</t>
  </si>
  <si>
    <t>Assumes existing building demolition and power will not be needed.</t>
  </si>
  <si>
    <t>Connection to existing track at bridge.</t>
  </si>
  <si>
    <t>Includes turnout to west yard.</t>
  </si>
  <si>
    <t>East Yard Track Storage:</t>
  </si>
  <si>
    <t>Source: Bureau of Transportation Statistics</t>
  </si>
  <si>
    <t>File Name: Regional Databases - FAF5.7.1</t>
  </si>
  <si>
    <t>URL: https://www.bts.gov/faf</t>
  </si>
  <si>
    <t>Data Filters</t>
  </si>
  <si>
    <t>#</t>
  </si>
  <si>
    <t>Filter</t>
  </si>
  <si>
    <t>Code</t>
  </si>
  <si>
    <t>Selection</t>
  </si>
  <si>
    <t>Distribution Origin</t>
  </si>
  <si>
    <t>Mobile</t>
  </si>
  <si>
    <t>Type of Trade</t>
  </si>
  <si>
    <t>Imports</t>
  </si>
  <si>
    <t>Mode used for Import into U.S.</t>
  </si>
  <si>
    <t>Water</t>
  </si>
  <si>
    <t>Mode of Transport</t>
  </si>
  <si>
    <t>Data Table</t>
  </si>
  <si>
    <t>Thousand Tons</t>
  </si>
  <si>
    <t>Million Ton-Miles</t>
  </si>
  <si>
    <t>CAGR (%)</t>
  </si>
  <si>
    <t>dms_dest</t>
  </si>
  <si>
    <t>Sum of tons_2022</t>
  </si>
  <si>
    <t>Sum of tmiles_2022</t>
  </si>
  <si>
    <t>Sum of tons_2023</t>
  </si>
  <si>
    <t>Sum of tmiles_2023</t>
  </si>
  <si>
    <t>Sum of tons_2024</t>
  </si>
  <si>
    <t>Sum of tmiles_2024</t>
  </si>
  <si>
    <t>Sum of tons_2030</t>
  </si>
  <si>
    <t>Sum of tmiles_2030</t>
  </si>
  <si>
    <t>Sum of tons</t>
  </si>
  <si>
    <t>Sum of tmiles</t>
  </si>
  <si>
    <t>Speed (mph)</t>
  </si>
  <si>
    <t xml:space="preserve">Grams per Metric Ton  </t>
  </si>
  <si>
    <t xml:space="preserve">Short Tons per Metric Ton  </t>
  </si>
  <si>
    <t>Emissions Rate (short tons/mile)</t>
  </si>
  <si>
    <t>yearID</t>
  </si>
  <si>
    <t>sourceTypeName</t>
  </si>
  <si>
    <t>fuelTypeDesc</t>
  </si>
  <si>
    <t>Diesel</t>
  </si>
  <si>
    <t>Emissions Rate (g/mile)</t>
  </si>
  <si>
    <t>CO2</t>
  </si>
  <si>
    <t>CO</t>
  </si>
  <si>
    <t>NOX</t>
  </si>
  <si>
    <t>PM10</t>
  </si>
  <si>
    <t>PM2.5</t>
  </si>
  <si>
    <t>SO2</t>
  </si>
  <si>
    <t>VOC</t>
  </si>
  <si>
    <t>[Index numbers, 2017=100]</t>
  </si>
  <si>
    <t>Bureau of Economic Analysis</t>
  </si>
  <si>
    <t>Last Revised on: May 28, 2026 - Next Release Date June 25, 2026</t>
  </si>
  <si>
    <t>Line</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</si>
  <si>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</si>
  <si>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</si>
  <si>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</si>
  <si>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</si>
  <si>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</si>
  <si>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</si>
  <si>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</si>
  <si>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</si>
  <si>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</si>
  <si>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</si>
  <si>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</si>
  <si>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</si>
  <si>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</si>
  <si>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</si>
  <si>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</si>
  <si>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</si>
  <si>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</si>
  <si>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</si>
  <si>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</si>
  <si>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</si>
  <si>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</si>
  <si>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</si>
  <si>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</si>
  <si>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</si>
  <si>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</si>
  <si>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</si>
  <si>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</si>
  <si>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</si>
  <si>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</si>
  <si>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</si>
  <si>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</si>
  <si>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</si>
  <si>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</si>
  <si>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</si>
  <si>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</si>
  <si>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</si>
  <si>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</si>
  <si>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</si>
  <si>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</si>
  <si>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</si>
  <si>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</si>
  <si>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</si>
  <si>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</si>
  <si>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</si>
  <si>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</si>
  <si>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</si>
  <si>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</si>
  <si>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</si>
  <si>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</si>
  <si>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</si>
  <si>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</si>
  <si>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</si>
  <si>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</si>
  <si>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</si>
  <si>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</si>
  <si>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</si>
  <si>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</si>
  <si>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</si>
  <si>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</si>
  <si>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</si>
  <si>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</si>
  <si>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</si>
  <si>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</si>
  <si>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</si>
  <si>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</si>
  <si>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</si>
  <si>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</si>
  <si>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</si>
  <si>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</si>
  <si>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</si>
  <si>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</si>
  <si>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</si>
  <si>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</si>
  <si>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</si>
  <si>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</si>
  <si>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</si>
  <si>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</si>
  <si>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</si>
  <si>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</si>
  <si>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</si>
  <si>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</si>
  <si>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</si>
  <si>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</si>
  <si>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</si>
  <si>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</si>
  <si>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</si>
  <si>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</si>
  <si>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</si>
  <si>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</si>
  <si>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</si>
  <si>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</si>
  <si>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</si>
  <si>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</si>
  <si>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</si>
  <si>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</si>
  <si>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</si>
  <si>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</si>
  <si>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1</t>
  </si>
  <si>
    <t xml:space="preserve">        Gross domestic product</t>
  </si>
  <si>
    <t>2000-2024</t>
  </si>
  <si>
    <t>2</t>
  </si>
  <si>
    <t>Personal consumption expenditures</t>
  </si>
  <si>
    <t>2026-2024</t>
  </si>
  <si>
    <t>Added a 2% Inflation Assumption (2025-2026), as per the USDOT BIP Tool Inflation Assumptions</t>
  </si>
  <si>
    <t>3</t>
  </si>
  <si>
    <t xml:space="preserve">    Goods</t>
  </si>
  <si>
    <t>2022-2024</t>
  </si>
  <si>
    <t>4</t>
  </si>
  <si>
    <t xml:space="preserve">        Durable goods</t>
  </si>
  <si>
    <t>5</t>
  </si>
  <si>
    <t xml:space="preserve">        Nondurable goods</t>
  </si>
  <si>
    <t>6</t>
  </si>
  <si>
    <t xml:space="preserve">    Services</t>
  </si>
  <si>
    <t>7</t>
  </si>
  <si>
    <t>Gross private domestic investment</t>
  </si>
  <si>
    <t>8</t>
  </si>
  <si>
    <t xml:space="preserve">    Fixed investment</t>
  </si>
  <si>
    <t>9</t>
  </si>
  <si>
    <t xml:space="preserve">        Nonresidential</t>
  </si>
  <si>
    <t>10</t>
  </si>
  <si>
    <t xml:space="preserve">            Structures</t>
  </si>
  <si>
    <t>11</t>
  </si>
  <si>
    <t xml:space="preserve">            Equipment</t>
  </si>
  <si>
    <t>12</t>
  </si>
  <si>
    <t xml:space="preserve">            Intellectual property products</t>
  </si>
  <si>
    <t>13</t>
  </si>
  <si>
    <t xml:space="preserve">        Residential</t>
  </si>
  <si>
    <t>14</t>
  </si>
  <si>
    <t xml:space="preserve">    Change in private inventories</t>
  </si>
  <si>
    <t>---</t>
  </si>
  <si>
    <t>15</t>
  </si>
  <si>
    <t>Net exports of goods and services</t>
  </si>
  <si>
    <t>16</t>
  </si>
  <si>
    <t xml:space="preserve">    Exports</t>
  </si>
  <si>
    <t>17</t>
  </si>
  <si>
    <t xml:space="preserve">        Goods</t>
  </si>
  <si>
    <t>18</t>
  </si>
  <si>
    <t xml:space="preserve">        Services</t>
  </si>
  <si>
    <t>19</t>
  </si>
  <si>
    <t xml:space="preserve">    Imports</t>
  </si>
  <si>
    <t>20</t>
  </si>
  <si>
    <t>21</t>
  </si>
  <si>
    <t>22</t>
  </si>
  <si>
    <t>Government consumption expenditures and gross investment</t>
  </si>
  <si>
    <t>23</t>
  </si>
  <si>
    <t xml:space="preserve">    Federal</t>
  </si>
  <si>
    <t>24</t>
  </si>
  <si>
    <t xml:space="preserve">        National defense</t>
  </si>
  <si>
    <t>25</t>
  </si>
  <si>
    <t xml:space="preserve">        Nondefense</t>
  </si>
  <si>
    <t>26</t>
  </si>
  <si>
    <t xml:space="preserve">    State and local</t>
  </si>
  <si>
    <t>Addendum:</t>
  </si>
  <si>
    <t>27</t>
  </si>
  <si>
    <t xml:space="preserve">    Gross national product</t>
  </si>
  <si>
    <t>Benefit Cost Analysis Guidance for Discretionary Grant Programs</t>
  </si>
  <si>
    <t>December 2025</t>
  </si>
  <si>
    <t>https://www.transportation.gov/sites/dot.gov/files/2025-12/Benefit%20Cost%20Analysis%20Guidance%202026%20Update%20%28Final%29.pdf</t>
  </si>
  <si>
    <t xml:space="preserve">Discounting </t>
  </si>
  <si>
    <t>In accordance with OMB Circular A-94, applicants to USDOT discretionary grant programs should use a real discount rate (the appropriate discount rate to use on monetized values expressed in real terms, with the effects of inflation removed) of 7 percent per year to discount streams of benefits and costs to their present value in their BCA.</t>
  </si>
  <si>
    <t>Real discount rate applicable to streams of benefits and costs</t>
  </si>
  <si>
    <t>Applicants should discount each category of benefits and costs separately for each year in the analysis period during which they accrue. For FY 2026, USDOT recommends that applicants discount the benefits and costs to 2024 (the same base year recommended above for any inflation adjustments) when producing the final present-value estimates of benefits and costs in their BCA.</t>
  </si>
  <si>
    <t>Projects involving the initial construction or full reconstruction of highways or similar facilities should use an expected service life of 30 years.</t>
  </si>
  <si>
    <t>Projects aimed primarily at capacity expansion or addressing other operating deficiencies of existing facilities should use a service life of 20 years (even if the useful physical life of the underlying infrastructure is greater than this). This is intended to correspond to the typical “design year” for such improvements</t>
  </si>
  <si>
    <t>Table A-1: Value of Reduced Fatalities and Injuries</t>
  </si>
  <si>
    <t>p. 38</t>
  </si>
  <si>
    <t>KABCO Level</t>
  </si>
  <si>
    <t>Monetized
Value (2024 $)</t>
  </si>
  <si>
    <t>Treatment of the Economic Value of Preventing Fatalities and Injuries in Preparing Economic Analyses (2022)</t>
  </si>
  <si>
    <t>O - No Injury</t>
  </si>
  <si>
    <t>https://www.transportation.gov/office-policy/transportation-policy/revised-departmental-guidance-on-valuation-of-a-statistical-life-in-economic-analysis</t>
  </si>
  <si>
    <t>C - Possible Injury</t>
  </si>
  <si>
    <t>B - Non-Incapacitating</t>
  </si>
  <si>
    <t>The Economic and Societal Impact of Motor Vehicle Crashes, 2019 (revised February 2023), Page 46, Table 2-9, Incidence Summary, 2019”</t>
  </si>
  <si>
    <t>A - Incapacitating</t>
  </si>
  <si>
    <t>Crash Type</t>
  </si>
  <si>
    <t>Note:</t>
  </si>
  <si>
    <r>
      <t>PDO Crash</t>
    </r>
    <r>
      <rPr>
        <vertAlign val="superscript"/>
        <sz val="11"/>
        <color theme="1"/>
        <rFont val="Calibri"/>
        <family val="2"/>
        <scheme val="minor"/>
      </rPr>
      <t>1</t>
    </r>
  </si>
  <si>
    <t>The KABCO level values shown result from multiplying the KABCO-level accident’s associated MAIS-level probabilities by the recommended unit Value of Injuries for each MAIS level, and then summing the products.</t>
  </si>
  <si>
    <r>
      <t>Injury Crash</t>
    </r>
    <r>
      <rPr>
        <vertAlign val="superscript"/>
        <sz val="11"/>
        <color theme="1"/>
        <rFont val="Calibri"/>
        <family val="2"/>
        <scheme val="minor"/>
      </rPr>
      <t>1</t>
    </r>
  </si>
  <si>
    <t xml:space="preserve">Accident data may not be presented on an annual basis when it is provided to applicants (i.e. an available report requested in Fall 2011 may record total accidents from 2005-2010). </t>
  </si>
  <si>
    <r>
      <t>Fatal Crash</t>
    </r>
    <r>
      <rPr>
        <vertAlign val="superscript"/>
        <sz val="11"/>
        <color theme="1"/>
        <rFont val="Calibri"/>
        <family val="2"/>
        <scheme val="minor"/>
      </rPr>
      <t>1</t>
    </r>
  </si>
  <si>
    <t>For the purposes of the BCA, is important to annualize data when possible. For MAIS-based unit values, please see the VSL guidance linked above.</t>
  </si>
  <si>
    <t>Property damage in PDO crashes inflated to 2024 dollars using the GDP delfator</t>
  </si>
  <si>
    <t>footnote</t>
  </si>
  <si>
    <t>vehicles per PDO crash</t>
  </si>
  <si>
    <t>injuries per injury crash</t>
  </si>
  <si>
    <t>fatalities per fatality crash</t>
  </si>
  <si>
    <t>1) Monetization values for PDO crashes assumed 1.77 vehicles per PDO crash. Monetization values for injury crashes and fatal crashes are based on an estimate of approximately 1.44 injuries per injury crash and 1.09 fatalities per fatal crash, based on an average of the most recent five years of data in NHTSA’s National Crash Statistics. The fatal crash value is further adjusted for the average number of injuries per fatal crash.</t>
  </si>
  <si>
    <t>Table A-2: Value of Travel Time Savings</t>
  </si>
  <si>
    <t>p. 39</t>
  </si>
  <si>
    <t>Recommended Hourly Values of Travel Time Savings
(2022 $ per person-hour)</t>
  </si>
  <si>
    <t>Revised Departmental Guidance on Valuation of Travel Time in Economic Analysis (2016)</t>
  </si>
  <si>
    <t>Category</t>
  </si>
  <si>
    <t>Hourly Value</t>
  </si>
  <si>
    <t>https://www.transportation.gov/office-policy/transportation-policy/revised-departmental-guidance-valuation-travel-time-economic</t>
  </si>
  <si>
    <t>General Travel Time</t>
  </si>
  <si>
    <r>
      <t>Personal</t>
    </r>
    <r>
      <rPr>
        <vertAlign val="superscript"/>
        <sz val="11"/>
        <color theme="1"/>
        <rFont val="Calibri"/>
        <family val="2"/>
        <scheme val="minor"/>
      </rPr>
      <t>1</t>
    </r>
  </si>
  <si>
    <r>
      <t>Business</t>
    </r>
    <r>
      <rPr>
        <vertAlign val="superscript"/>
        <sz val="11"/>
        <color theme="1"/>
        <rFont val="Calibri"/>
        <family val="2"/>
        <scheme val="minor"/>
      </rPr>
      <t>2</t>
    </r>
  </si>
  <si>
    <r>
      <t>All Purposes</t>
    </r>
    <r>
      <rPr>
        <vertAlign val="superscript"/>
        <sz val="11"/>
        <color theme="1"/>
        <rFont val="Calibri"/>
        <family val="2"/>
        <scheme val="minor"/>
      </rPr>
      <t>3</t>
    </r>
  </si>
  <si>
    <r>
      <t>Walking, Cycling, Waiting, Standing, and Transfer Time</t>
    </r>
    <r>
      <rPr>
        <vertAlign val="superscript"/>
        <sz val="11"/>
        <color theme="1"/>
        <rFont val="Calibri"/>
        <family val="2"/>
        <scheme val="minor"/>
      </rPr>
      <t>4</t>
    </r>
  </si>
  <si>
    <r>
      <t>Commercial Vehicle Opeartors</t>
    </r>
    <r>
      <rPr>
        <b/>
        <vertAlign val="superscript"/>
        <sz val="11"/>
        <color theme="1"/>
        <rFont val="Calibri"/>
        <family val="2"/>
        <scheme val="minor"/>
      </rPr>
      <t>5</t>
    </r>
  </si>
  <si>
    <t>Truck Drivers</t>
  </si>
  <si>
    <t>Bus Drivers</t>
  </si>
  <si>
    <t>Transit Rail Operators</t>
  </si>
  <si>
    <t>Locomotive Engineers</t>
  </si>
  <si>
    <t>long-distance intercity personal travel value (per hour)</t>
  </si>
  <si>
    <t>mile threshold for long-distance intercity travel</t>
  </si>
  <si>
    <t>percent of personal travel</t>
  </si>
  <si>
    <t>percent of business travel</t>
  </si>
  <si>
    <t>high-speed rail personal travel value</t>
  </si>
  <si>
    <t>high-speed rail business travel value</t>
  </si>
  <si>
    <t>1) Values for personal travel based on local travel values as described in USDOT’s Value of Travel Time guidance. Where applicants also have specific information on the mix of local versus long-distance intercity travel (i.e., trips over 50 miles in length) on a facility, then the local travel values of time may be blended with the long-distance intercity personal travel value of $28.20 per hour.</t>
  </si>
  <si>
    <t>2) Weighted average based on a typical distribution of local travel by surface modes (88.2% personal, 11.8% business). Applicants should apply their own distribution of business versus personal travel where such  information is available.</t>
  </si>
  <si>
    <t>3) Note that business travel does not include commuting travel, which should be valued at the personal travel rate. Travel on high-speed rail service that would be competitive with air travel should be valued at $53.50 per hour for personal travel and $86.00 for business travel.</t>
  </si>
  <si>
    <t>4) Should be applied only when actions affect those elements of travel time.</t>
  </si>
  <si>
    <t>5) Includes only the value of time for the operator, not passengers or freight</t>
  </si>
  <si>
    <t>Table A-3: Average Vehicle Occupancy Rates for Highway Passenger Vehicles</t>
  </si>
  <si>
    <t>p.40</t>
  </si>
  <si>
    <t>Vehicle Type</t>
  </si>
  <si>
    <t>Average Occupancy</t>
  </si>
  <si>
    <t>2022 National Household Travel Survey</t>
  </si>
  <si>
    <r>
      <t>Passenger Vehicles
(Weekday Peak)</t>
    </r>
    <r>
      <rPr>
        <vertAlign val="superscript"/>
        <sz val="11"/>
        <color theme="1"/>
        <rFont val="Calibri"/>
        <family val="2"/>
        <scheme val="minor"/>
      </rPr>
      <t>1</t>
    </r>
  </si>
  <si>
    <t>Passenger Vehicles
(Weekday Off-Peak)</t>
  </si>
  <si>
    <t>Passenger Vehicles
(Weekend)</t>
  </si>
  <si>
    <t>Passenger Vehicles
(All Travel)</t>
  </si>
  <si>
    <t>1\ Weekday peak period values calculated for trips starting between 6:00 AM-8:59 AM and 4:00 PM-6:59 PM.</t>
  </si>
  <si>
    <t>Table A-4: Vehicle Operating Costs</t>
  </si>
  <si>
    <t>p. 40</t>
  </si>
  <si>
    <t>Recommended Value per Mile (2024 $)</t>
  </si>
  <si>
    <t>American Automobile Association, Your Driving Costs – 2024 Edition (2024)</t>
  </si>
  <si>
    <r>
      <t>Light Duty Vehicles</t>
    </r>
    <r>
      <rPr>
        <vertAlign val="superscript"/>
        <sz val="11"/>
        <color theme="1"/>
        <rFont val="Calibri"/>
        <family val="2"/>
        <scheme val="minor"/>
      </rPr>
      <t>1</t>
    </r>
  </si>
  <si>
    <t>https://newsroom.aaa.com/wp_x0002_content/uploads/2024/09/YDC_Fact-Sheet-FINAL_x0002_9.2024.pdf</t>
  </si>
  <si>
    <r>
      <t>Commercial Trucks</t>
    </r>
    <r>
      <rPr>
        <vertAlign val="superscript"/>
        <sz val="11"/>
        <color theme="1"/>
        <rFont val="Calibri"/>
        <family val="2"/>
        <scheme val="minor"/>
      </rPr>
      <t>2</t>
    </r>
  </si>
  <si>
    <t>1) Based on an average light duty vehicle and includes operating costs such as gasoline, maintenance, tires, and depreciation (assuming an average of 15,000 miles driven per year). The value omits other ownership costs that are mostly fixed or transfers (insurance, license, registration, taxes, and financing charges).</t>
  </si>
  <si>
    <t>American Transportation Research Institute, An Analysis of the Operational Costs of Trucking: 2025 Update</t>
  </si>
  <si>
    <t>https://truckingresearch.org/wp-content/uploads/2025/07/ATRI-Operational-Costs-of-Trucking-07-2025.pdf</t>
  </si>
  <si>
    <t>2) Value includes fuel costs, truck/trailer lease or purchase payments, repair and maintenance, truck insurance premiums, permits and licenses, and tires. The value omits tolls (which are transfers), and driver wages and benefits (which are already included in the value of travel time savings).</t>
  </si>
  <si>
    <t xml:space="preserve">Table A-5: Train Operating and Social Costs </t>
  </si>
  <si>
    <t>p. 41</t>
  </si>
  <si>
    <t>Recommended Value per Hour (2024 $)</t>
  </si>
  <si>
    <t>Cost of Delay from HAZMAT Rail Incidents (October 2023)</t>
  </si>
  <si>
    <t>Train and Movement Type</t>
  </si>
  <si>
    <t>Operating Costs*</t>
  </si>
  <si>
    <t>Emission Costs**</t>
  </si>
  <si>
    <t>https://www.phmsa.dot.gov/planning-and-analytics/economic-research-and-regulatory-analysis-division/cost-delay-hazmat-rail-incidents</t>
  </si>
  <si>
    <t>Idling</t>
  </si>
  <si>
    <t>Freight Train</t>
  </si>
  <si>
    <t>Values adjusted from report for changes in wages, fuel costs, emission monetization, and inflation.</t>
  </si>
  <si>
    <t>Commuter Train</t>
  </si>
  <si>
    <t>Amtrak Long-Distance</t>
  </si>
  <si>
    <t>Amtrak State-Supported</t>
  </si>
  <si>
    <t>Hauling</t>
  </si>
  <si>
    <t>All Movements</t>
  </si>
  <si>
    <t>Freight Railcar</t>
  </si>
  <si>
    <t>*</t>
  </si>
  <si>
    <t>* Includes fuel cost, depreciation, and labor cost</t>
  </si>
  <si>
    <t>** Emissions are based on the current diesel-electric locomotive fleet average, and thus the emission values above should not be applied in cases where new locomotives are being acquired or in cases of electrified rail. The monetization applies the 2035-year emission value to approximate increasing emission damage costs over time.</t>
  </si>
  <si>
    <t>Table A-6: Damage Costs for Emissions per Metric Ton*</t>
  </si>
  <si>
    <t>p. 42</t>
  </si>
  <si>
    <t>NOx</t>
  </si>
  <si>
    <t>Emission Type</t>
  </si>
  <si>
    <r>
      <t>NO</t>
    </r>
    <r>
      <rPr>
        <b/>
        <vertAlign val="subscript"/>
        <sz val="11"/>
        <color theme="1"/>
        <rFont val="Calibri"/>
        <family val="2"/>
        <scheme val="minor"/>
      </rPr>
      <t>x</t>
    </r>
  </si>
  <si>
    <r>
      <t>SO</t>
    </r>
    <r>
      <rPr>
        <b/>
        <vertAlign val="subscript"/>
        <sz val="11"/>
        <color theme="1"/>
        <rFont val="Calibri"/>
        <family val="2"/>
        <scheme val="minor"/>
      </rPr>
      <t>2</t>
    </r>
  </si>
  <si>
    <r>
      <t>PM</t>
    </r>
    <r>
      <rPr>
        <b/>
        <vertAlign val="subscript"/>
        <sz val="11"/>
        <color theme="1"/>
        <rFont val="Calibri"/>
        <family val="2"/>
        <scheme val="minor"/>
      </rPr>
      <t>2.5</t>
    </r>
    <r>
      <rPr>
        <b/>
        <sz val="11"/>
        <color theme="1"/>
        <rFont val="Calibri"/>
        <family val="2"/>
        <scheme val="minor"/>
      </rPr>
      <t>**</t>
    </r>
  </si>
  <si>
    <t>Technical Support Document: Estimating the Benefit per Ton of Reducing PM2.5 Precursors from 17 Sectors (February 2018)”</t>
  </si>
  <si>
    <t>https://www.epa.gov/sites/default/files/2018-02/documents/sourceapportionmentbpttsd_2018.pdf</t>
  </si>
  <si>
    <r>
      <t>NO</t>
    </r>
    <r>
      <rPr>
        <vertAlign val="subscript"/>
        <sz val="11"/>
        <color theme="1"/>
        <rFont val="Calibri"/>
        <family val="2"/>
        <scheme val="minor"/>
      </rPr>
      <t>X</t>
    </r>
    <r>
      <rPr>
        <sz val="11"/>
        <color rgb="FF000000"/>
        <rFont val="Calibri"/>
        <family val="2"/>
        <scheme val="minor"/>
      </rPr>
      <t>, SO</t>
    </r>
    <r>
      <rPr>
        <vertAlign val="subscript"/>
        <sz val="11"/>
        <color theme="1"/>
        <rFont val="Calibri"/>
        <family val="2"/>
        <scheme val="minor"/>
      </rPr>
      <t>X</t>
    </r>
    <r>
      <rPr>
        <sz val="11"/>
        <color rgb="FF000000"/>
        <rFont val="Calibri"/>
        <family val="2"/>
        <scheme val="minor"/>
      </rPr>
      <t>, and PM</t>
    </r>
    <r>
      <rPr>
        <vertAlign val="subscript"/>
        <sz val="11"/>
        <color theme="1"/>
        <rFont val="Calibri"/>
        <family val="2"/>
        <scheme val="minor"/>
      </rPr>
      <t>2.5</t>
    </r>
    <r>
      <rPr>
        <sz val="11"/>
        <color rgb="FF000000"/>
        <rFont val="Calibri"/>
        <family val="2"/>
        <scheme val="minor"/>
      </rPr>
      <t xml:space="preserve"> values are inflated from 2015 to </t>
    </r>
    <r>
      <rPr>
        <sz val="11"/>
        <color rgb="FFFF0000"/>
        <rFont val="Calibri"/>
        <family val="2"/>
        <scheme val="minor"/>
      </rPr>
      <t>2024</t>
    </r>
    <r>
      <rPr>
        <sz val="11"/>
        <color rgb="FF000000"/>
        <rFont val="Calibri"/>
        <family val="2"/>
        <scheme val="minor"/>
      </rPr>
      <t xml:space="preserve"> dollars using the GDP deflator.</t>
    </r>
  </si>
  <si>
    <r>
      <rPr>
        <b/>
        <sz val="11"/>
        <color theme="1"/>
        <rFont val="Calibri"/>
        <family val="2"/>
        <scheme val="minor"/>
      </rPr>
      <t>Note:</t>
    </r>
    <r>
      <rPr>
        <sz val="11"/>
        <color rgb="FF000000"/>
        <rFont val="Calibri"/>
        <family val="2"/>
        <scheme val="minor"/>
      </rPr>
      <t xml:space="preserve"> Fuel saved (gasoline, diesel, natural gas, etc.) can be converted into metric tons of emissions using EPA guidelines available at</t>
    </r>
  </si>
  <si>
    <t>https://www.epa.gov/energy/greenhouse-gases-equivalencies-calculator-calculations-and-references</t>
  </si>
  <si>
    <t xml:space="preserve">Added for the purpose of this analysis </t>
  </si>
  <si>
    <t>short tons per metric ton</t>
  </si>
  <si>
    <t>*Applicants should carefully note whether their emissions data is reported in short tons or metric tons. A metric ton is equal to 1.1023 short tons.</t>
  </si>
  <si>
    <r>
      <t>**Applicants should be careful to not apply the PM</t>
    </r>
    <r>
      <rPr>
        <i/>
        <vertAlign val="subscript"/>
        <sz val="11"/>
        <color theme="1"/>
        <rFont val="Calibri"/>
        <family val="2"/>
        <scheme val="minor"/>
      </rPr>
      <t>2.5</t>
    </r>
    <r>
      <rPr>
        <i/>
        <sz val="11"/>
        <color theme="1"/>
        <rFont val="Calibri"/>
        <family val="2"/>
        <scheme val="minor"/>
      </rPr>
      <t xml:space="preserve"> value to estimates of total emissions of PM</t>
    </r>
    <r>
      <rPr>
        <i/>
        <vertAlign val="subscript"/>
        <sz val="11"/>
        <color theme="1"/>
        <rFont val="Calibri"/>
        <family val="2"/>
        <scheme val="minor"/>
      </rPr>
      <t>10</t>
    </r>
    <r>
      <rPr>
        <i/>
        <sz val="11"/>
        <color theme="1"/>
        <rFont val="Calibri"/>
        <family val="2"/>
        <scheme val="minor"/>
      </rPr>
      <t>.</t>
    </r>
  </si>
  <si>
    <t>Table A-7: Inflation Adjustment Values</t>
  </si>
  <si>
    <t>p. 43</t>
  </si>
  <si>
    <t>Base Year of Nominal Dollar</t>
  </si>
  <si>
    <t>Multiplier to Adjust to Real 2024 $</t>
  </si>
  <si>
    <t>Bureau of Economic Analysis, National Income and Product Accounts, Table 1.1.9, “Implicit Price Deflators for Gross Domestic Product” (September 2025)</t>
  </si>
  <si>
    <t>https://apps.bea.gov/iTable/?reqid=19&amp;step=3&amp;isuri=1&amp;1921=survey&amp;1903=11#eyJhcHBpZCI6MTksInN0ZXBzIjpbMSwyLDNdLCJkYXRhIjpbWyJOSVBBX1RhYmxlX0xpc3QiLCIxMyJdLFsiQ2F0ZWdvcmllcyIsIlN1cnZleSJdXX0=</t>
  </si>
  <si>
    <t>Table A-8: Pedestrian Facility Improvements Revealed Preference Values</t>
  </si>
  <si>
    <t>p. 44</t>
  </si>
  <si>
    <t>Improvement Type</t>
  </si>
  <si>
    <r>
      <t>Recommended Value per Person-Mile Walked (2024 $)</t>
    </r>
    <r>
      <rPr>
        <b/>
        <vertAlign val="superscript"/>
        <sz val="11"/>
        <color theme="1"/>
        <rFont val="Calibri"/>
        <family val="2"/>
        <scheme val="minor"/>
      </rPr>
      <t>1</t>
    </r>
  </si>
  <si>
    <t>Sidewalk expansion valuation based on:</t>
  </si>
  <si>
    <r>
      <t>Expand Sidewalk (per foot of added Width)</t>
    </r>
    <r>
      <rPr>
        <vertAlign val="superscript"/>
        <sz val="11"/>
        <color theme="1"/>
        <rFont val="Calibri"/>
        <family val="2"/>
        <scheme val="minor"/>
      </rPr>
      <t>2</t>
    </r>
  </si>
  <si>
    <t xml:space="preserve">Does the Pedestrian Environment Affect the Utility of Walking? A Case of Path Choice in Downtown Boston (2009) </t>
  </si>
  <si>
    <t>Reducing Upslope by 1%</t>
  </si>
  <si>
    <t>https://www.sciencedirect.com/science/article/abs/pii/S136192090900039X</t>
  </si>
  <si>
    <r>
      <t xml:space="preserve">Reducing Traffic Speed by 1 mph (for speeds </t>
    </r>
    <r>
      <rPr>
        <u/>
        <sz val="11"/>
        <color theme="1"/>
        <rFont val="Calibri"/>
        <family val="2"/>
        <scheme val="minor"/>
      </rPr>
      <t>&lt;</t>
    </r>
    <r>
      <rPr>
        <sz val="11"/>
        <color theme="1"/>
        <rFont val="Calibri"/>
        <family val="2"/>
        <scheme val="minor"/>
      </rPr>
      <t xml:space="preserve"> 45 mph</t>
    </r>
  </si>
  <si>
    <t>Reducing Traffic Volume by 1 Vehicle per Hour (for ADT ≤ 55,000)</t>
  </si>
  <si>
    <r>
      <t>Recommended Value per Use (2024 $)</t>
    </r>
    <r>
      <rPr>
        <b/>
        <vertAlign val="superscript"/>
        <sz val="11"/>
        <color theme="1"/>
        <rFont val="Calibri"/>
        <family val="2"/>
        <scheme val="minor"/>
      </rPr>
      <t>1</t>
    </r>
  </si>
  <si>
    <t>Install Marked-Crosswalk on Roadway with Volumes ≥10,000 Vehicles per Day</t>
  </si>
  <si>
    <t>A Big Data Approach to Understanding Pedestrian Route Choice Preferences: Evidence from San Francisco (2021)</t>
  </si>
  <si>
    <t>Install Signal for Pedestrian Crossing on Roadway with Volumes ≥13,000 Vehicles per Day</t>
  </si>
  <si>
    <t>https://www.sciencedirect.com/science/article/abs/pii/S2214367X21000569</t>
  </si>
  <si>
    <t>Pedestrian crossing improvement valuation based on:</t>
  </si>
  <si>
    <t>average walking speed (mph)</t>
  </si>
  <si>
    <t>Pedestrian Route Choice Model Estimated from Revealed Preference GPS Data (2014)</t>
  </si>
  <si>
    <t>maximum per user mile-based benefit (miles)</t>
  </si>
  <si>
    <t>https://trid.trb.org/view/1338221</t>
  </si>
  <si>
    <t>maximum sidewalk width for benefits (feet)</t>
  </si>
  <si>
    <t>1) These values assume an average walking trip speed of 3.2 miles per hour. For the mile-based benefits, the estimated value per user should be capped at 0.86 miles, the average length of a walking trip in the 2017 National Household Travel Survey, unless the applicant has specific documentation suggesting longer trips or that a trip shorter than 0.86 miles is not feasible on the facility in question. In other words, applicants should not assume all pedestrians travel the full distance of a proposed facility if the facility is longer than 0.86 miles without a clear justification for doing so.</t>
  </si>
  <si>
    <t>2) Value for sidewalk width expansion applicable for sidewalks up to approximately 31 feet, benefits for expansions beyond this width should be described qualitatively.</t>
  </si>
  <si>
    <t>Table A-9: Cycling Facility Improvements Revealed Preference Values</t>
  </si>
  <si>
    <t>p. 45</t>
  </si>
  <si>
    <t>Facility Type</t>
  </si>
  <si>
    <r>
      <t>Recommended Value per Cycling Mile 
(2024 $)</t>
    </r>
    <r>
      <rPr>
        <b/>
        <vertAlign val="superscript"/>
        <sz val="11"/>
        <color theme="1"/>
        <rFont val="Calibri"/>
        <family val="2"/>
        <scheme val="minor"/>
      </rPr>
      <t>1</t>
    </r>
  </si>
  <si>
    <t>Underlying marginal rate of substitution estimates based on:</t>
  </si>
  <si>
    <t>Cycling Path with At-Grade Crossings</t>
  </si>
  <si>
    <r>
      <t>Cycling Path with no At-Grade Crossings</t>
    </r>
    <r>
      <rPr>
        <vertAlign val="superscript"/>
        <sz val="11"/>
        <color theme="1"/>
        <rFont val="Calibri"/>
        <family val="2"/>
        <scheme val="minor"/>
      </rPr>
      <t>2</t>
    </r>
    <r>
      <rPr>
        <sz val="11"/>
        <color rgb="FF000000"/>
        <rFont val="Calibri"/>
        <family val="2"/>
        <scheme val="minor"/>
      </rPr>
      <t xml:space="preserve"> </t>
    </r>
  </si>
  <si>
    <t xml:space="preserve">A GPS-based Bicycle Route Choice Model for San Francisco, California (2011) </t>
  </si>
  <si>
    <t>Dedicated Cycling Lane</t>
  </si>
  <si>
    <t>https://www.sfcta.org/sites/default/files/2019-03/BikeRouteChoiceModel.pdf</t>
  </si>
  <si>
    <t>Cycling Boulevard/“Sharrow”</t>
  </si>
  <si>
    <t>Separated Cycle Track</t>
  </si>
  <si>
    <t>Average cycling speed based on summaries of GPS observations of observed cycling speeds in two datasets from the following studies:</t>
  </si>
  <si>
    <t>Broach, Dill, &amp; Gliebe, (2012)</t>
  </si>
  <si>
    <t>https://www.sciencedirect.com/science/article/abs/pii/S0965856412001164?via%3Dihub</t>
  </si>
  <si>
    <t>Dill, McNeil, Broach, &amp; Ma, (2014)</t>
  </si>
  <si>
    <t>https://www.sciencedirect.com/science/article/abs/pii/S0091743514003703?via%3Dihub</t>
  </si>
  <si>
    <t>average cycling speed (mph)</t>
  </si>
  <si>
    <t>Broach &amp; Dill, (2016)</t>
  </si>
  <si>
    <t>https://journals.sagepub.com/doi/10.3141/2564-06</t>
  </si>
  <si>
    <t>average cycling speed for off-street paths (mph)</t>
  </si>
  <si>
    <t>Broach, Dill, &amp; McNeil (2019)</t>
  </si>
  <si>
    <t>https://www.sciencedirect.com/science/article/abs/pii/S0966692318307166?via%3Dihub</t>
  </si>
  <si>
    <t>maximum cycling trip length for benefits (miles)</t>
  </si>
  <si>
    <t>1) Values should only be applied over sections for which a comparable parallel facility is not available, and only applies to miles cycled on the project facility. These values assume an average cycling trip speed of 9.8 miles per hour or, in the case of off-street paths with no at-grade crossings, a free-flow cycling speed of 12.1 miles per hour. The estimated value per cyclist should be capped at 2.38 miles, the average length of a cycling trip in the 2017 National Household Travel Survey, unless the applicant has specific documentation suggesting longer trips or that a trip shorter than 2.38 miles is not feasible on the facility in question. In other words, applicants should not assume all cyclists travel the full distance of a proposed facility if the facility is longer than 2.38 miles without a clear justification for doing so.</t>
  </si>
  <si>
    <t>2) The value for a cycling path with no at-grade intersections is higher due to an assumption of higher average speed of 12.1 miles per hour, resulting in less time on the facility, which lowers journey quality benefits but increases travel time savings.</t>
  </si>
  <si>
    <t>Table A-10: Transit Facility Amenity Revealed and Stated Preference Values</t>
  </si>
  <si>
    <t>p. 46</t>
  </si>
  <si>
    <t>Attribute Type</t>
  </si>
  <si>
    <t>Recommended Value per User Trip (2024 $)</t>
  </si>
  <si>
    <t>Public Transport Customer Amenity Valuation Database (2017)</t>
  </si>
  <si>
    <t>Bus Stop</t>
  </si>
  <si>
    <t>Light Rail / Streetcar Stop</t>
  </si>
  <si>
    <t>Rail Station</t>
  </si>
  <si>
    <t>https://publictransportresearchgroup.info/portfolio-item/best-practice-approaches-to-public-transport-customer-amenity-valuation/</t>
  </si>
  <si>
    <t>Clocks</t>
  </si>
  <si>
    <t>Electronic Real-Time Information Displays</t>
  </si>
  <si>
    <r>
      <rPr>
        <b/>
        <sz val="11"/>
        <color theme="1"/>
        <rFont val="Calibri"/>
        <family val="2"/>
        <scheme val="minor"/>
      </rPr>
      <t>Note:</t>
    </r>
    <r>
      <rPr>
        <sz val="11"/>
        <color theme="1"/>
        <rFont val="Calibri"/>
        <family val="2"/>
        <scheme val="minor"/>
      </rPr>
      <t xml:space="preserve"> The underlying surveys for rail stations contained more facility attributes than those for bus or light rail/streetcar stops. However, the values for rail stations may be used for major bus or light rail transfer facilities as well as intercity bus stations where applicable.</t>
    </r>
  </si>
  <si>
    <t>Information/Emergency Button</t>
  </si>
  <si>
    <t>PA System</t>
  </si>
  <si>
    <r>
      <t>Platform/Stop Seating Availability</t>
    </r>
    <r>
      <rPr>
        <vertAlign val="superscript"/>
        <sz val="11"/>
        <color theme="1"/>
        <rFont val="Calibri"/>
        <family val="2"/>
        <scheme val="minor"/>
      </rPr>
      <t>1</t>
    </r>
  </si>
  <si>
    <r>
      <t>Platform/Stop Weather Protection</t>
    </r>
    <r>
      <rPr>
        <vertAlign val="superscript"/>
        <sz val="11"/>
        <color theme="1"/>
        <rFont val="Calibri"/>
        <family val="2"/>
        <scheme val="minor"/>
      </rPr>
      <t>1</t>
    </r>
  </si>
  <si>
    <t>Restroom Availability</t>
  </si>
  <si>
    <t>Retail/Food Outlet Availability</t>
  </si>
  <si>
    <t>Staff Availability</t>
  </si>
  <si>
    <t>Step-Free Access to Station/Stop</t>
  </si>
  <si>
    <t>Step-Free Access to Vehicle</t>
  </si>
  <si>
    <t>Surveillance Cameras</t>
  </si>
  <si>
    <r>
      <t>Temperature Controlled Environment</t>
    </r>
    <r>
      <rPr>
        <vertAlign val="superscript"/>
        <sz val="11"/>
        <color theme="1"/>
        <rFont val="Calibri"/>
        <family val="2"/>
        <scheme val="minor"/>
      </rPr>
      <t>1</t>
    </r>
  </si>
  <si>
    <t>Ticket Machines</t>
  </si>
  <si>
    <t>Timetables</t>
  </si>
  <si>
    <t>Bike Facilities</t>
  </si>
  <si>
    <t>Car Access Facilities</t>
  </si>
  <si>
    <t>Elevator</t>
  </si>
  <si>
    <t>Escalators</t>
  </si>
  <si>
    <t>On-Site Ticket Office</t>
  </si>
  <si>
    <t>Taxi Pickup/Dropoff</t>
  </si>
  <si>
    <r>
      <t>Waiting Room</t>
    </r>
    <r>
      <rPr>
        <vertAlign val="superscript"/>
        <sz val="11"/>
        <color theme="1"/>
        <rFont val="Calibri"/>
        <family val="2"/>
        <scheme val="minor"/>
      </rPr>
      <t>1</t>
    </r>
  </si>
  <si>
    <t>1) Note that seating availability and weather protection refer to seats, canopies, or wind shelters on the platforms themselves, whereas temperature-controlled environment refers to an indoor facility with heating and air conditioning availability. A waiting room refers to a designated indoor environment with seating availability, separate from platform seating, which may or may not be temperature controlled.</t>
  </si>
  <si>
    <t>Table A-11: Transit Vehicle Amenity Values</t>
  </si>
  <si>
    <t>p. 47</t>
  </si>
  <si>
    <t>Bus</t>
  </si>
  <si>
    <t>Light Rail / Streetcar</t>
  </si>
  <si>
    <t>Handrails</t>
  </si>
  <si>
    <t>Luggage Storage</t>
  </si>
  <si>
    <t>Temperature Control</t>
  </si>
  <si>
    <t>Wheelchair Space</t>
  </si>
  <si>
    <t>Food Service Availability</t>
  </si>
  <si>
    <t>Table A-12: Transit Mode Ride and Boarding Quality Revealed Preference Values</t>
  </si>
  <si>
    <t>p. 48</t>
  </si>
  <si>
    <t>Transit Mode</t>
  </si>
  <si>
    <t>Boarding Quality Benefit (Per Boarding)  (2024 $)</t>
  </si>
  <si>
    <t>Vehicle Ride Quality Benefit (Per Passenger Hour) (2024 $)</t>
  </si>
  <si>
    <t>Federal Transit Administration’s Simplified Trips-On-Project Model</t>
  </si>
  <si>
    <t xml:space="preserve">https://www.transit.dot.gov/funding/grant-programs/capital-investments/stops </t>
  </si>
  <si>
    <t>Low-Intensive BRT²</t>
  </si>
  <si>
    <t>Medium-Intensive BRT²</t>
  </si>
  <si>
    <t>High-Intensive BRT² ³</t>
  </si>
  <si>
    <t>Streetcar or On-Street Light Rail Transit</t>
  </si>
  <si>
    <t>Off-Street Light Rail Transit</t>
  </si>
  <si>
    <t xml:space="preserve">Heavy Rail </t>
  </si>
  <si>
    <t xml:space="preserve">Commuter Rail </t>
  </si>
  <si>
    <t>Ferry³</t>
  </si>
  <si>
    <t>1) Values applicable when base case is transit use of standard on-street bus, the reference case used to create these values. When comparing other types of modal shift, the differences between the relevant modal values above should be used.</t>
  </si>
  <si>
    <t>2) Low-intensive BRT would include special service branding, low floor vehicles, at least 50 percent of route in dedicated lanes and potentially shared turns and the remainder in mixed-traffic, some signal priority, level boarding, off-board fare collection, and visually distinct stations. Medium-intensive BRT would include features of Low-intensive BRT but have 100 percent of the route in dedicated lanes, traffic signal priority throughout the corridor, and median-running service or right-turn prohibitions. High-intensive BRT would have a completely sealed right-of-way with no traffic interference and traffic signal preemption, akin to a “rubber-tired railroad.”</t>
  </si>
  <si>
    <t>3) The Capital Investment Grant program has to date not completed a before-and-after study of ridership on a ferry project or a high-intensive BRT as described above, and thus does not have a calibrated estimate for the fixed-guideway setting for those modes. Thus, these values represent the current best estimates, considering average station and ride quality relative to other transit modes.</t>
  </si>
  <si>
    <t>Table A-13: Mortality Reduction Benefits of Induced Active Transportation Values</t>
  </si>
  <si>
    <t>p. 49</t>
  </si>
  <si>
    <t>Mode</t>
  </si>
  <si>
    <r>
      <t>Applicable Age Range</t>
    </r>
    <r>
      <rPr>
        <b/>
        <vertAlign val="superscript"/>
        <sz val="11"/>
        <color theme="1"/>
        <rFont val="Calibri"/>
        <family val="2"/>
        <scheme val="minor"/>
      </rPr>
      <t>3</t>
    </r>
  </si>
  <si>
    <r>
      <t>Recommended Value per Induced Trip
(2024 $)</t>
    </r>
    <r>
      <rPr>
        <b/>
        <vertAlign val="superscript"/>
        <sz val="11"/>
        <color theme="1"/>
        <rFont val="Calibri"/>
        <family val="2"/>
        <scheme val="minor"/>
      </rPr>
      <t>4</t>
    </r>
  </si>
  <si>
    <t>Physical activity risk reduction assumptions based on:</t>
  </si>
  <si>
    <r>
      <t>Walking</t>
    </r>
    <r>
      <rPr>
        <vertAlign val="superscript"/>
        <sz val="11"/>
        <color theme="1"/>
        <rFont val="Calibri"/>
        <family val="2"/>
        <scheme val="minor"/>
      </rPr>
      <t>1</t>
    </r>
  </si>
  <si>
    <t>Ages 20-74</t>
  </si>
  <si>
    <t>Health Economic Assessment Tool (HEAT) for Walking and For Cycling (2017)</t>
  </si>
  <si>
    <r>
      <t>Cycling</t>
    </r>
    <r>
      <rPr>
        <vertAlign val="superscript"/>
        <sz val="11"/>
        <color theme="1"/>
        <rFont val="Calibri"/>
        <family val="2"/>
        <scheme val="minor"/>
      </rPr>
      <t>2</t>
    </r>
  </si>
  <si>
    <t>Ages 20-64</t>
  </si>
  <si>
    <t>https://www.euro.who.int/__data/assets/pdf_file/0010/352963/Heat.pdf</t>
  </si>
  <si>
    <t>Average walking speed, average weighted age for those who walk or cycle, average walk or cycling trip distance, and national average active transportation mode distribution based on:</t>
  </si>
  <si>
    <t>National Household Travel Survey (2017)</t>
  </si>
  <si>
    <t>walking mortality risk for age 45 (avg of 20-74)</t>
  </si>
  <si>
    <t>https://nhts.ornl.gov/</t>
  </si>
  <si>
    <t>annual risk reduction per daily mile walked</t>
  </si>
  <si>
    <t xml:space="preserve">average walking trip distance </t>
  </si>
  <si>
    <t>Baseline mortality risk based on:</t>
  </si>
  <si>
    <t>National Centers for Health Statistics Underlying Cause of Death 2018-2019 on CDC WONDER Online Database (2020)</t>
  </si>
  <si>
    <t>cycling mortality risk for age 42 (avg of 20-64)</t>
  </si>
  <si>
    <t>https://wonder.cdc.gov/</t>
  </si>
  <si>
    <t>annual risk reduction per daily mile cycled</t>
  </si>
  <si>
    <t>average cycling trip distance</t>
  </si>
  <si>
    <t>Estimates of national population falling within applicable age ranges based on:</t>
  </si>
  <si>
    <t>percent of population in walking range</t>
  </si>
  <si>
    <t>United States Census Bureau, Current Population Survey, Annual Social and Economic Supplement (2019)</t>
  </si>
  <si>
    <t>percent of population in cycling range</t>
  </si>
  <si>
    <t>https://www.census.gov/data/tables/2019/demo/age-and-sex/2019-age-sex-composition.html</t>
  </si>
  <si>
    <t>percent of induced trips from non-active transportation modes</t>
  </si>
  <si>
    <r>
      <t xml:space="preserve">Assumed average cycling speed based on cycling studies cited in Appendix A, </t>
    </r>
    <r>
      <rPr>
        <i/>
        <sz val="11"/>
        <color theme="1"/>
        <rFont val="Calibri"/>
        <family val="2"/>
        <scheme val="minor"/>
      </rPr>
      <t>Table A-9</t>
    </r>
    <r>
      <rPr>
        <sz val="11"/>
        <color theme="1"/>
        <rFont val="Calibri"/>
        <family val="2"/>
        <scheme val="minor"/>
      </rPr>
      <t>.</t>
    </r>
  </si>
  <si>
    <t>1) Based on an assumed average walking speed of 3.2 miles per hour, an assumed average age of the relevant age range (20-74 years) of 45, a corresponding baseline mortality risk of 267.1 per 100,000, an annual risk reduction of 8.6 percent per daily mile walked, and an average walking trip distance of 0.86 miles.</t>
  </si>
  <si>
    <t>2) Based on an assumed average cycling speed of 9.8 miles per hour, an assumed average age of the relevant age range (20-64 years) of 42, a corresponding baseline mortality risk of 217.9 per 100,000, an annual risk reduction of 4.3 percent per daily mile cycled, and an average cycling trip distance of 2.38 miles.</t>
  </si>
  <si>
    <t>3) Absent more localized data on the proportion of the expected users falling into the age ranges above, applicants may apply a general assumption of 68% and 59% of overall induced trips falling into the walking and cycling age ranges, respectively, assuming a distribution matching the national average.</t>
  </si>
  <si>
    <t xml:space="preserve">4) Applicants should ensure these monetization values are only applied to trips induced from non-active transportation modes within the relevant age ranges for each mode. Absent more localized data on the proportion of induced trips coming from non-active transportation modes, applicants may apply a general assumption of 89% of induced trips falling into that category, assuming a distribution matching the national average travel pattern. </t>
  </si>
  <si>
    <t>Table A-14: External Highway Use Costs: Noise and Congestion Values</t>
  </si>
  <si>
    <t>p. 50</t>
  </si>
  <si>
    <t>Vehicle Type and Location</t>
  </si>
  <si>
    <r>
      <t>Recommended Value of Cost per Vehicle Mile Traveled (2024 $)</t>
    </r>
    <r>
      <rPr>
        <b/>
        <vertAlign val="superscript"/>
        <sz val="11"/>
        <color theme="1"/>
        <rFont val="Calibri"/>
        <family val="2"/>
        <scheme val="minor"/>
      </rPr>
      <t>1</t>
    </r>
  </si>
  <si>
    <t>Highway Cost Allocation Study (1997)</t>
  </si>
  <si>
    <t>Congestion</t>
  </si>
  <si>
    <t>Noise</t>
  </si>
  <si>
    <t>Emission Cost</t>
  </si>
  <si>
    <t>https://www.fhwa.dot.gov/policy/otps/costallocation.cfm</t>
  </si>
  <si>
    <t>Light-Duty Vehicles - Urban</t>
  </si>
  <si>
    <t>Light-Duty Vehicles - Rural</t>
  </si>
  <si>
    <t>NHTSA Fatality Analysis Reporting System (2019)</t>
  </si>
  <si>
    <t>Light-Duty Vehicles - All Locations</t>
  </si>
  <si>
    <t>https://www.nhtsa.gov/research-data/fatality-analysis-reporting-system-fars</t>
  </si>
  <si>
    <t xml:space="preserve">Buses and Trucks - Urban </t>
  </si>
  <si>
    <t>Buses and Trucks - Rural</t>
  </si>
  <si>
    <t>NHTSA Crash Report Sampling System (2019)</t>
  </si>
  <si>
    <t>Buses and Trucks - All Locations</t>
  </si>
  <si>
    <t>https://www.nhtsa.gov/crash-data-systems/crash-report-sampling-system</t>
  </si>
  <si>
    <t>All Vehicles - Urban</t>
  </si>
  <si>
    <t>All Vehicles - Rural</t>
  </si>
  <si>
    <t>EPA MOVES Model (2022)</t>
  </si>
  <si>
    <t>All Vehicles - All Locations</t>
  </si>
  <si>
    <t>https://www.epa.gov/moves</t>
  </si>
  <si>
    <r>
      <t xml:space="preserve">1) Congestion costs updated from the 1997 Highway Cost Allocation Study to reflect increased traffic volumes, changes in vehicle occupancy, and increases in the value of time per person-hour since that time. Both congestion and noise costs are also adjusted from 1994 dollars to </t>
    </r>
    <r>
      <rPr>
        <sz val="11"/>
        <rFont val="Calibri"/>
        <family val="2"/>
        <scheme val="minor"/>
      </rPr>
      <t>2024</t>
    </r>
    <r>
      <rPr>
        <sz val="11"/>
        <color theme="1"/>
        <rFont val="Calibri"/>
        <family val="2"/>
        <scheme val="minor"/>
      </rPr>
      <t xml:space="preserve"> dollars using the GDP deflator.</t>
    </r>
  </si>
  <si>
    <r>
      <t>2) Emission rates are based on estimates from EPA's MOVES Model. The monetization applies the 2035-year emission value to approximate increasing emission damage costs over time.</t>
    </r>
    <r>
      <rPr>
        <b/>
        <sz val="11"/>
        <rFont val="Calibri"/>
        <family val="2"/>
        <scheme val="minor"/>
      </rPr>
      <t xml:space="preserve"> </t>
    </r>
  </si>
  <si>
    <t>North Alabama = 15,850 Loads; 31,700 Trips. Substitutes Initial  Lift Capacity at North Alabama ICTF for FAF Est. Containers</t>
  </si>
  <si>
    <t>North Alabama Rail Corridor Distance</t>
  </si>
  <si>
    <t xml:space="preserve">Un-Constrained North Alabama Design Units </t>
  </si>
  <si>
    <t xml:space="preserve">Un-Constrained North Alabama  Miles </t>
  </si>
  <si>
    <t>Design Cap'y. Substitutes Rail Miles (346) for Truck Miles (342) between North Alabama  PODs and Mobile</t>
  </si>
  <si>
    <t>Pasted Values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</si>
</sst>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4">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
    <numFmt numFmtId="165" formatCode="&quot;$&quot;#,##0.00"/>
    <numFmt numFmtId="166" formatCode="0.0%"/>
    <numFmt numFmtId="167" formatCode="&quot;$&quot;#,##0.0000"/>
    <numFmt numFmtId="168" formatCode="&quot;$&quot;#,##0.000"/>
    <numFmt numFmtId="169" formatCode="0.0000%"/>
    <numFmt numFmtId="170" formatCode="0.000"/>
    <numFmt numFmtId="171" formatCode="0.0"/>
    <numFmt numFmtId="172" formatCode="_(* #,##0.000_);_(* \(#,##0.000\);_(* &quot;-&quot;??_);_(@_)"/>
    <numFmt numFmtId="173" formatCode="_(* #,##0.0_);_(* \(#,##0.0\);_(* &quot;-&quot;??_);_(@_)"/>
    <numFmt numFmtId="174" formatCode="_(* #,##0_);_(* \(#,##0\);_(* &quot;-&quot;??_);_(@_)"/>
    <numFmt numFmtId="175" formatCode="_(&quot;$&quot;* #,##0_);_(&quot;$&quot;* \(#,##0\);_(&quot;$&quot;* &quot;-&quot;??_);_(@_)"/>
    <numFmt numFmtId="176" formatCode="[$£-809]#,##0.000"/>
    <numFmt numFmtId="177" formatCode="[$$-409]#,##0"/>
    <numFmt numFmtId="178" formatCode="#,##0\ "/>
    <numFmt numFmtId="179" formatCode="###0.00_)"/>
    <numFmt numFmtId="180" formatCode="#,##0_)"/>
    <numFmt numFmtId="181" formatCode="0.0_W"/>
    <numFmt numFmtId="182" formatCode="0.00_)"/>
    <numFmt numFmtId="183" formatCode="0.00000"/>
    <numFmt numFmtId="184" formatCode="[$-409]mmmm\ d\,\ yyyy;@"/>
    <numFmt numFmtId="185" formatCode="&quot;$&quot;#,##0.0"/>
    <numFmt numFmtId="186" formatCode="&quot;$&quot;#,##0.0_);[Red]\(&quot;$&quot;#,##0.0\)"/>
    <numFmt numFmtId="187" formatCode="_(&quot;$&quot;* #,##0.0_);_(&quot;$&quot;* \(#,##0.0\);_(&quot;$&quot;* &quot;-&quot;??_);_(@_)"/>
    <numFmt numFmtId="188" formatCode="&quot;$&quot;#,##0.00000_);[Red]\(&quot;$&quot;#,##0.00000\)"/>
    <numFmt numFmtId="189" formatCode="_(* #,##0.00000_);_(* \(#,##0.00000\);_(* &quot;-&quot;??_);_(@_)"/>
    <numFmt numFmtId="190" formatCode="_(* #,##0.0000000000_);_(* \(#,##0.0000000000\);_(* &quot;-&quot;??_);_(@_)"/>
    <numFmt numFmtId="191" formatCode="0.00000E+00"/>
    <numFmt numFmtId="192" formatCode="00\+00.00"/>
    <numFmt numFmtId="193" formatCode="0.00000000"/>
    <numFmt numFmtId="194" formatCode="0.000000000"/>
    <numFmt numFmtId="195" formatCode="0.00000000000"/>
    <numFmt numFmtId="196" formatCode="_(* #,##0.00000000_);_(* \(#,##0.00000000\);_(* &quot;-&quot;??_);_(@_)"/>
    <numFmt numFmtId="197" formatCode="_(* #,##0.000000000_);_(* \(#,##0.000000000\);_(* &quot;-&quot;??_);_(@_)"/>
    <numFmt numFmtId="198" formatCode="#,##0.00000"/>
    <numFmt numFmtId="199" formatCode="#,##0.000"/>
    <numFmt numFmtId="200" formatCode="_(* #,##0.00000_);_(* \(#,##0.00000\);_(* &quot;-&quot;?????_);_(@_)"/>
    <numFmt numFmtId="201" formatCode="0.0000"/>
  </numFmts>
  <fonts count="158"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u/>
      <sz val="11"/>
      <color theme="10"/>
      <name val="Calibri"/>
      <family val="2"/>
      <scheme val="minor"/>
    </font>
    <font>
      <sz val="11"/>
      <color theme="3"/>
      <name val="Calibri"/>
      <family val="2"/>
      <scheme val="minor"/>
    </font>
    <font>
      <b/>
      <i/>
      <sz val="11"/>
      <color theme="3"/>
      <name val="Calibri"/>
      <family val="2"/>
      <scheme val="minor"/>
    </font>
    <font>
      <i/>
      <sz val="11"/>
      <color theme="3"/>
      <name val="Calibri"/>
      <family val="2"/>
      <scheme val="minor"/>
    </font>
    <font>
      <vertAlign val="subscript"/>
      <sz val="11"/>
      <color theme="1"/>
      <name val="Calibri"/>
      <family val="2"/>
      <scheme val="minor"/>
    </font>
    <font>
      <i/>
      <sz val="11"/>
      <color theme="1"/>
      <name val="Calibri"/>
      <family val="2"/>
      <scheme val="minor"/>
    </font>
    <font>
      <vertAlign val="superscript"/>
      <sz val="11"/>
      <color theme="1"/>
      <name val="Calibri"/>
      <family val="2"/>
      <scheme val="minor"/>
    </font>
    <font>
      <sz val="11"/>
      <color rgb="FF7030A0"/>
      <name val="Calibri"/>
      <family val="2"/>
      <scheme val="minor"/>
    </font>
    <font>
      <sz val="11"/>
      <name val="Calibri"/>
      <family val="2"/>
      <scheme val="minor"/>
    </font>
    <font>
      <b/>
      <vertAlign val="superscript"/>
      <sz val="11"/>
      <color theme="1"/>
      <name val="Calibri"/>
      <family val="2"/>
      <scheme val="minor"/>
    </font>
    <font>
      <i/>
      <sz val="11"/>
      <color rgb="FF7030A0"/>
      <name val="Calibri"/>
      <family val="2"/>
      <scheme val="minor"/>
    </font>
    <font>
      <u/>
      <sz val="10"/>
      <color theme="10"/>
      <name val="Times New Roman"/>
      <family val="1"/>
    </font>
    <font>
      <b/>
      <vertAlign val="subscript"/>
      <sz val="11"/>
      <color theme="1"/>
      <name val="Calibri"/>
      <family val="2"/>
      <scheme val="minor"/>
    </font>
    <font>
      <i/>
      <vertAlign val="subscript"/>
      <sz val="11"/>
      <color theme="1"/>
      <name val="Calibri"/>
      <family val="2"/>
      <scheme val="minor"/>
    </font>
    <font>
      <i/>
      <sz val="11"/>
      <name val="Calibri"/>
      <family val="2"/>
      <scheme val="minor"/>
    </font>
    <font>
      <b/>
      <i/>
      <sz val="14"/>
      <color rgb="FF0070C0"/>
      <name val="Calibri"/>
      <family val="2"/>
      <scheme val="minor"/>
    </font>
    <font>
      <sz val="11"/>
      <color rgb="FF000000"/>
      <name val="Calibri"/>
      <family val="2"/>
      <scheme val="minor"/>
    </font>
    <font>
      <b/>
      <sz val="11"/>
      <color rgb="FFFFFFFF"/>
      <name val="Calibri"/>
      <family val="2"/>
      <scheme val="minor"/>
    </font>
    <font>
      <b/>
      <sz val="11"/>
      <color rgb="FF000000"/>
      <name val="Calibri"/>
      <family val="2"/>
      <scheme val="minor"/>
    </font>
    <font>
      <sz val="11"/>
      <color rgb="FF4472C4"/>
      <name val="Calibri"/>
      <family val="2"/>
      <charset val="1"/>
    </font>
    <font>
      <sz val="11"/>
      <color rgb="FF000000"/>
      <name val="Calibri"/>
      <family val="2"/>
    </font>
    <font>
      <sz val="11"/>
      <color theme="4" tint="-0.499984740745262"/>
      <name val="Calibri"/>
      <family val="2"/>
      <scheme val="minor"/>
    </font>
    <font>
      <sz val="8"/>
      <name val="Calibri"/>
      <family val="2"/>
      <scheme val="minor"/>
    </font>
    <font>
      <b/>
      <sz val="15"/>
      <color theme="3"/>
      <name val="Calibri"/>
      <family val="2"/>
      <scheme val="minor"/>
    </font>
    <font>
      <b/>
      <sz val="13"/>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b/>
      <sz val="11"/>
      <name val="Calibri"/>
      <family val="2"/>
      <scheme val="minor"/>
    </font>
    <font>
      <sz val="10"/>
      <name val="MS Sans Serif"/>
      <family val="2"/>
    </font>
    <font>
      <sz val="8"/>
      <name val="Arial"/>
      <family val="2"/>
    </font>
    <font>
      <sz val="11"/>
      <name val="Arial"/>
      <family val="2"/>
    </font>
    <font>
      <sz val="10"/>
      <color indexed="8"/>
      <name val="Arial"/>
      <family val="2"/>
    </font>
    <font>
      <sz val="11"/>
      <color rgb="FF9C6500"/>
      <name val="Calibri"/>
      <family val="2"/>
      <scheme val="minor"/>
    </font>
    <font>
      <sz val="10"/>
      <color theme="0"/>
      <name val="Arial"/>
      <family val="2"/>
    </font>
    <font>
      <sz val="12"/>
      <color theme="0"/>
      <name val="Arial"/>
      <family val="2"/>
    </font>
    <font>
      <sz val="12"/>
      <color theme="0"/>
      <name val="Arial Narrow"/>
      <family val="2"/>
    </font>
    <font>
      <sz val="11"/>
      <color theme="0"/>
      <name val="Times New Roman"/>
      <family val="2"/>
    </font>
    <font>
      <sz val="11"/>
      <color rgb="FF9C0006"/>
      <name val="Times New Roman"/>
      <family val="2"/>
    </font>
    <font>
      <sz val="9"/>
      <color indexed="8"/>
      <name val="Calibri"/>
      <family val="2"/>
    </font>
    <font>
      <b/>
      <sz val="12"/>
      <color rgb="FFFA7D00"/>
      <name val="Arial"/>
      <family val="2"/>
    </font>
    <font>
      <b/>
      <sz val="12"/>
      <color rgb="FFFA7D00"/>
      <name val="Arial Narrow"/>
      <family val="2"/>
    </font>
    <font>
      <sz val="12"/>
      <name val="Helv"/>
    </font>
    <font>
      <sz val="10"/>
      <name val="Tahoma"/>
      <family val="2"/>
    </font>
    <font>
      <sz val="10"/>
      <color theme="1"/>
      <name val="Tahoma"/>
      <family val="2"/>
    </font>
    <font>
      <sz val="12"/>
      <color theme="1"/>
      <name val="Arial Narrow"/>
      <family val="2"/>
    </font>
    <font>
      <sz val="12"/>
      <color theme="1"/>
      <name val="Calibri"/>
      <family val="2"/>
      <scheme val="minor"/>
    </font>
    <font>
      <b/>
      <sz val="12"/>
      <name val="Helv"/>
    </font>
    <font>
      <sz val="10"/>
      <name val="Helv"/>
    </font>
    <font>
      <sz val="9"/>
      <name val="Helv"/>
    </font>
    <font>
      <vertAlign val="superscript"/>
      <sz val="12"/>
      <name val="Helv"/>
    </font>
    <font>
      <b/>
      <sz val="13"/>
      <color theme="3"/>
      <name val="Arial"/>
      <family val="2"/>
    </font>
    <font>
      <b/>
      <sz val="13"/>
      <color theme="3"/>
      <name val="Arial Narrow"/>
      <family val="2"/>
    </font>
    <font>
      <b/>
      <sz val="10"/>
      <name val="Helv"/>
    </font>
    <font>
      <b/>
      <sz val="9"/>
      <name val="Helv"/>
    </font>
    <font>
      <sz val="8.5"/>
      <name val="Helv"/>
    </font>
    <font>
      <u/>
      <sz val="11"/>
      <color theme="10"/>
      <name val="Calibri"/>
      <family val="2"/>
    </font>
    <font>
      <sz val="12"/>
      <color rgb="FF3F3F76"/>
      <name val="Arial"/>
      <family val="2"/>
    </font>
    <font>
      <sz val="12"/>
      <color rgb="FF3F3F76"/>
      <name val="Arial Narrow"/>
      <family val="2"/>
    </font>
    <font>
      <sz val="10"/>
      <color theme="4"/>
      <name val="Arial"/>
      <family val="2"/>
    </font>
    <font>
      <b/>
      <i/>
      <sz val="16"/>
      <name val="Helv"/>
    </font>
    <font>
      <sz val="12"/>
      <color theme="1"/>
      <name val="Arial"/>
      <family val="2"/>
    </font>
    <font>
      <sz val="12"/>
      <color theme="1"/>
      <name val="Times New Roman"/>
      <family val="2"/>
    </font>
    <font>
      <sz val="11"/>
      <color indexed="8"/>
      <name val="Calibri"/>
      <family val="2"/>
      <scheme val="minor"/>
    </font>
    <font>
      <sz val="10"/>
      <color theme="1"/>
      <name val="Arial"/>
      <family val="2"/>
    </font>
    <font>
      <sz val="10"/>
      <color theme="1"/>
      <name val="Arial Narrow"/>
      <family val="2"/>
    </font>
    <font>
      <sz val="8"/>
      <name val="Helv"/>
    </font>
    <font>
      <b/>
      <sz val="12"/>
      <color theme="5"/>
      <name val="Tahoma"/>
      <family val="2"/>
    </font>
    <font>
      <b/>
      <sz val="14"/>
      <name val="Helv"/>
    </font>
    <font>
      <b/>
      <sz val="11"/>
      <name val="Times New Roman"/>
      <family val="1"/>
    </font>
    <font>
      <b/>
      <sz val="11"/>
      <color theme="1"/>
      <name val="Times New Roman"/>
      <family val="2"/>
    </font>
    <font>
      <b/>
      <sz val="12"/>
      <color theme="1"/>
      <name val="Calibri"/>
      <family val="2"/>
      <scheme val="minor"/>
    </font>
    <font>
      <b/>
      <sz val="16"/>
      <color theme="1"/>
      <name val="Calibri"/>
      <family val="2"/>
      <scheme val="minor"/>
    </font>
    <font>
      <sz val="9"/>
      <color theme="1"/>
      <name val="Arial"/>
      <family val="2"/>
    </font>
    <font>
      <sz val="11"/>
      <name val="Calibri"/>
      <family val="2"/>
      <charset val="1"/>
    </font>
    <font>
      <sz val="11"/>
      <color theme="4"/>
      <name val="Calibri"/>
      <family val="2"/>
      <scheme val="minor"/>
    </font>
    <font>
      <b/>
      <sz val="11"/>
      <color rgb="FFC00000"/>
      <name val="Calibri"/>
      <family val="2"/>
      <scheme val="minor"/>
    </font>
    <font>
      <i/>
      <sz val="8"/>
      <color theme="1"/>
      <name val="Calibri"/>
      <family val="2"/>
      <scheme val="minor"/>
    </font>
    <font>
      <b/>
      <i/>
      <sz val="11"/>
      <color theme="1"/>
      <name val="Calibri"/>
      <family val="2"/>
      <scheme val="minor"/>
    </font>
    <font>
      <b/>
      <sz val="14"/>
      <color theme="0"/>
      <name val="Calibri"/>
      <family val="2"/>
      <scheme val="minor"/>
    </font>
    <font>
      <b/>
      <sz val="12"/>
      <color theme="0"/>
      <name val="Arial"/>
      <family val="2"/>
    </font>
    <font>
      <sz val="9"/>
      <color theme="0"/>
      <name val="Arial"/>
      <family val="2"/>
    </font>
    <font>
      <sz val="10"/>
      <color theme="0"/>
      <name val="Calibri"/>
      <family val="2"/>
      <scheme val="minor"/>
    </font>
    <font>
      <b/>
      <sz val="11"/>
      <name val="Calibri"/>
      <family val="2"/>
    </font>
    <font>
      <b/>
      <sz val="9"/>
      <color rgb="FFFFFFFF"/>
      <name val="Arial"/>
      <family val="2"/>
    </font>
    <font>
      <b/>
      <sz val="11"/>
      <color rgb="FF000000"/>
      <name val="Calibri"/>
      <family val="2"/>
    </font>
    <font>
      <b/>
      <sz val="10"/>
      <color theme="1"/>
      <name val="Arial"/>
      <family val="2"/>
    </font>
    <font>
      <b/>
      <sz val="10"/>
      <color rgb="FFFFFFFF"/>
      <name val="Arial"/>
      <family val="2"/>
    </font>
    <font>
      <b/>
      <sz val="11"/>
      <color rgb="FFFFFFFF"/>
      <name val="Calibri"/>
      <family val="2"/>
    </font>
    <font>
      <sz val="11"/>
      <color theme="2" tint="-9.9978637043366805E-2"/>
      <name val="Calibri"/>
      <family val="2"/>
      <scheme val="minor"/>
    </font>
    <font>
      <i/>
      <sz val="9"/>
      <color theme="1"/>
      <name val="Calibri"/>
      <family val="2"/>
      <scheme val="minor"/>
    </font>
    <font>
      <sz val="10"/>
      <color rgb="FFFFFFFF"/>
      <name val="Arial"/>
      <family val="2"/>
    </font>
    <font>
      <b/>
      <i/>
      <sz val="9"/>
      <color theme="1"/>
      <name val="Arial"/>
      <family val="2"/>
    </font>
    <font>
      <u/>
      <sz val="11"/>
      <color theme="1"/>
      <name val="Calibri"/>
      <family val="2"/>
      <scheme val="minor"/>
    </font>
    <font>
      <sz val="12"/>
      <name val="Times New Roman"/>
      <family val="1"/>
    </font>
    <font>
      <sz val="8"/>
      <color theme="1"/>
      <name val="Calibri"/>
      <family val="2"/>
      <scheme val="minor"/>
    </font>
    <font>
      <sz val="11"/>
      <color rgb="FFFFFFFF"/>
      <name val="Calibri"/>
      <family val="2"/>
      <scheme val="minor"/>
    </font>
    <font>
      <b/>
      <sz val="9"/>
      <color theme="1"/>
      <name val="Arial"/>
      <family val="2"/>
    </font>
    <font>
      <u/>
      <sz val="9.35"/>
      <color theme="10"/>
      <name val="Calibri"/>
      <family val="2"/>
    </font>
    <font>
      <b/>
      <sz val="11"/>
      <color rgb="FF00B050"/>
      <name val="Calibri"/>
      <family val="2"/>
      <scheme val="minor"/>
    </font>
    <font>
      <b/>
      <sz val="8"/>
      <color rgb="FF333333"/>
      <name val="Lato"/>
      <family val="2"/>
    </font>
    <font>
      <sz val="11"/>
      <color theme="0" tint="-0.499984740745262"/>
      <name val="Calibri"/>
      <family val="2"/>
      <scheme val="minor"/>
    </font>
    <font>
      <b/>
      <sz val="14"/>
      <name val="Calibri"/>
      <family val="2"/>
    </font>
    <font>
      <sz val="13"/>
      <name val="Calibri"/>
      <family val="2"/>
    </font>
    <font>
      <b/>
      <sz val="11"/>
      <color indexed="9"/>
      <name val="Calibri"/>
      <family val="2"/>
    </font>
    <font>
      <sz val="11"/>
      <color theme="2"/>
      <name val="Calibri"/>
      <family val="2"/>
      <scheme val="minor"/>
    </font>
    <font>
      <b/>
      <sz val="11"/>
      <color rgb="FFFF0000"/>
      <name val="Calibri"/>
      <family val="2"/>
      <scheme val="minor"/>
    </font>
    <font>
      <b/>
      <i/>
      <sz val="9"/>
      <color rgb="FF00B050"/>
      <name val="Arial"/>
      <family val="2"/>
    </font>
    <font>
      <b/>
      <sz val="9"/>
      <color rgb="FF00B050"/>
      <name val="Arial"/>
      <family val="2"/>
    </font>
    <font>
      <sz val="11"/>
      <color theme="2" tint="-0.249977111117893"/>
      <name val="Calibri"/>
      <family val="2"/>
      <scheme val="minor"/>
    </font>
    <font>
      <i/>
      <sz val="9"/>
      <color rgb="FFFFFFFF"/>
      <name val="Arial"/>
      <family val="2"/>
    </font>
    <font>
      <sz val="11"/>
      <color theme="8" tint="-0.249977111117893"/>
      <name val="Calibri"/>
      <family val="2"/>
      <scheme val="minor"/>
    </font>
    <font>
      <b/>
      <i/>
      <sz val="11"/>
      <color theme="8" tint="-0.249977111117893"/>
      <name val="Calibri"/>
      <family val="2"/>
      <scheme val="minor"/>
    </font>
    <font>
      <vertAlign val="subscript"/>
      <sz val="11"/>
      <name val="Calibri"/>
      <family val="2"/>
      <scheme val="minor"/>
    </font>
    <font>
      <sz val="11"/>
      <color theme="1"/>
      <name val="Calibri"/>
      <family val="2"/>
    </font>
    <font>
      <b/>
      <sz val="11"/>
      <name val="Arial"/>
      <family val="2"/>
    </font>
    <font>
      <sz val="10"/>
      <color rgb="FFFF0000"/>
      <name val="Arial"/>
      <family val="2"/>
    </font>
    <font>
      <b/>
      <sz val="10"/>
      <name val="Arial"/>
      <family val="2"/>
    </font>
    <font>
      <b/>
      <sz val="10"/>
      <color rgb="FFFF0000"/>
      <name val="Arial"/>
      <family val="2"/>
    </font>
    <font>
      <b/>
      <sz val="11"/>
      <color rgb="FFFF0000"/>
      <name val="Arial"/>
      <family val="2"/>
    </font>
    <font>
      <sz val="11"/>
      <color theme="1"/>
      <name val="Arial"/>
      <family val="2"/>
    </font>
    <font>
      <sz val="11"/>
      <color rgb="FFFF0000"/>
      <name val="Arial"/>
      <family val="2"/>
    </font>
    <font>
      <sz val="10"/>
      <color theme="1"/>
      <name val="Calibri"/>
      <family val="2"/>
      <scheme val="minor"/>
    </font>
    <font>
      <i/>
      <sz val="9"/>
      <color indexed="8"/>
      <name val="Calibri"/>
      <family val="2"/>
      <scheme val="minor"/>
    </font>
    <font>
      <b/>
      <sz val="10"/>
      <color theme="0"/>
      <name val="Calibri"/>
      <family val="2"/>
      <scheme val="minor"/>
    </font>
    <font>
      <i/>
      <sz val="10"/>
      <color theme="1"/>
      <name val="Calibri"/>
      <family val="2"/>
      <scheme val="minor"/>
    </font>
    <font>
      <b/>
      <sz val="10"/>
      <color rgb="FFC00000"/>
      <name val="Calibri"/>
      <family val="2"/>
      <scheme val="minor"/>
    </font>
    <font>
      <b/>
      <i/>
      <sz val="10"/>
      <color theme="0"/>
      <name val="Calibri"/>
      <family val="2"/>
      <scheme val="minor"/>
    </font>
    <font>
      <b/>
      <sz val="11"/>
      <color theme="0"/>
      <name val="Calibri"/>
      <family val="2"/>
    </font>
    <font>
      <sz val="11"/>
      <color theme="0"/>
      <name val="Calibri"/>
      <family val="2"/>
    </font>
    <font>
      <sz val="11"/>
      <color theme="4"/>
      <name val="Calibri"/>
      <family val="2"/>
    </font>
    <font>
      <sz val="11"/>
      <color rgb="FF7030A0"/>
      <name val="Calibri"/>
      <family val="2"/>
    </font>
    <font>
      <i/>
      <sz val="11"/>
      <color rgb="FF000000"/>
      <name val="Calibri"/>
      <family val="2"/>
      <scheme val="minor"/>
    </font>
    <font>
      <b/>
      <sz val="12"/>
      <color rgb="FF7030A0"/>
      <name val="Calibri"/>
      <family val="2"/>
      <scheme val="minor"/>
    </font>
    <font>
      <b/>
      <sz val="13"/>
      <color theme="1"/>
      <name val="Calibri"/>
      <family val="2"/>
      <scheme val="minor"/>
    </font>
    <font>
      <b/>
      <sz val="13"/>
      <name val="Calibri"/>
      <family val="2"/>
      <scheme val="minor"/>
    </font>
    <font>
      <b/>
      <sz val="13"/>
      <color rgb="FFFF0000"/>
      <name val="Calibri"/>
      <family val="2"/>
      <scheme val="minor"/>
    </font>
    <font>
      <b/>
      <sz val="14"/>
      <color theme="1"/>
      <name val="Calibri"/>
      <family val="2"/>
      <scheme val="minor"/>
    </font>
    <font>
      <b/>
      <sz val="11"/>
      <color theme="2"/>
      <name val="Calibri"/>
      <family val="2"/>
      <scheme val="minor"/>
    </font>
    <font>
      <i/>
      <sz val="9"/>
      <color theme="2" tint="-0.499984740745262"/>
      <name val="Calibri"/>
      <family val="2"/>
      <scheme val="minor"/>
    </font>
    <font>
      <sz val="11"/>
      <color rgb="FF242424"/>
      <name val="Calibri"/>
      <family val="2"/>
      <scheme val="minor"/>
    </font>
    <font>
      <i/>
      <sz val="9"/>
      <color rgb="FF000000"/>
      <name val="Calibri"/>
      <family val="2"/>
      <scheme val="minor"/>
    </font>
    <font>
      <i/>
      <sz val="10"/>
      <color rgb="FF000000"/>
      <name val="Calibri"/>
      <family val="2"/>
      <scheme val="minor"/>
    </font>
    <font>
      <i/>
      <sz val="9"/>
      <name val="Calibri"/>
      <family val="2"/>
      <scheme val="minor"/>
    </font>
    <font>
      <b/>
      <sz val="10"/>
      <color theme="1"/>
      <name val="Calibri"/>
      <family val="2"/>
      <scheme val="minor"/>
    </font>
    <font>
      <sz val="10"/>
      <color rgb="FF000000"/>
      <name val="Arial"/>
      <family val="2"/>
    </font>
  </fonts>
  <fills count="91">
    <fill>
      <patternFill patternType="none"/>
    </fill>
    <fill>
      <patternFill patternType="gray125"/>
    </fill>
    <fill>
      <patternFill patternType="solid">
        <fgColor theme="4" tint="0.79998168889431442"/>
        <bgColor indexed="64"/>
      </patternFill>
    </fill>
    <fill>
      <patternFill patternType="solid">
        <fgColor rgb="FF4298B5"/>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bgColor indexed="64"/>
      </patternFill>
    </fill>
    <fill>
      <patternFill patternType="solid">
        <fgColor indexed="22"/>
        <bgColor indexed="64"/>
      </patternFill>
    </fill>
    <fill>
      <patternFill patternType="solid">
        <fgColor rgb="FF01FF00"/>
        <bgColor indexed="64"/>
      </patternFill>
    </fill>
    <fill>
      <patternFill patternType="solid">
        <fgColor rgb="FFFF3333"/>
        <bgColor indexed="64"/>
      </patternFill>
    </fill>
    <fill>
      <patternFill patternType="solid">
        <fgColor rgb="FFFFCCCC"/>
        <bgColor indexed="64"/>
      </patternFill>
    </fill>
    <fill>
      <patternFill patternType="solid">
        <fgColor rgb="FFFF9999"/>
        <bgColor indexed="64"/>
      </patternFill>
    </fill>
    <fill>
      <patternFill patternType="solid">
        <fgColor rgb="FFFF6666"/>
        <bgColor indexed="64"/>
      </patternFill>
    </fill>
    <fill>
      <patternFill patternType="solid">
        <fgColor rgb="FFCC6666"/>
        <bgColor indexed="64"/>
      </patternFill>
    </fill>
    <fill>
      <patternFill patternType="solid">
        <fgColor indexed="22"/>
        <bgColor indexed="9"/>
      </patternFill>
    </fill>
    <fill>
      <patternFill patternType="solid">
        <fgColor rgb="FFCCFFFF"/>
        <bgColor indexed="64"/>
      </patternFill>
    </fill>
    <fill>
      <patternFill patternType="solid">
        <fgColor rgb="FF01FFFF"/>
        <bgColor indexed="64"/>
      </patternFill>
    </fill>
    <fill>
      <patternFill patternType="solid">
        <fgColor rgb="FF99CCCC"/>
        <bgColor indexed="64"/>
      </patternFill>
    </fill>
    <fill>
      <patternFill patternType="solid">
        <fgColor rgb="FF00CCCC"/>
        <bgColor indexed="64"/>
      </patternFill>
    </fill>
    <fill>
      <patternFill patternType="solid">
        <fgColor rgb="FF669999"/>
        <bgColor indexed="64"/>
      </patternFill>
    </fill>
    <fill>
      <patternFill patternType="solid">
        <fgColor rgb="FF009999"/>
        <bgColor indexed="64"/>
      </patternFill>
    </fill>
    <fill>
      <patternFill patternType="solid">
        <fgColor rgb="FFFFCCFF"/>
        <bgColor indexed="64"/>
      </patternFill>
    </fill>
    <fill>
      <patternFill patternType="solid">
        <fgColor rgb="FFFF99FF"/>
        <bgColor indexed="64"/>
      </patternFill>
    </fill>
    <fill>
      <patternFill patternType="solid">
        <fgColor rgb="FFFF33FF"/>
        <bgColor indexed="64"/>
      </patternFill>
    </fill>
    <fill>
      <patternFill patternType="solid">
        <fgColor rgb="FFCC99CC"/>
        <bgColor indexed="64"/>
      </patternFill>
    </fill>
    <fill>
      <patternFill patternType="solid">
        <fgColor rgb="FFCC66CC"/>
        <bgColor indexed="64"/>
      </patternFill>
    </fill>
    <fill>
      <patternFill patternType="solid">
        <fgColor indexed="22"/>
        <bgColor indexed="55"/>
      </patternFill>
    </fill>
    <fill>
      <patternFill patternType="solid">
        <fgColor theme="2" tint="-0.499984740745262"/>
        <bgColor indexed="64"/>
      </patternFill>
    </fill>
    <fill>
      <patternFill patternType="solid">
        <fgColor theme="4" tint="0.79998168889431442"/>
        <bgColor rgb="FF000000"/>
      </patternFill>
    </fill>
    <fill>
      <patternFill patternType="solid">
        <fgColor theme="0"/>
        <bgColor indexed="64"/>
      </patternFill>
    </fill>
    <fill>
      <patternFill patternType="solid">
        <fgColor theme="2" tint="-0.249977111117893"/>
        <bgColor indexed="64"/>
      </patternFill>
    </fill>
    <fill>
      <patternFill patternType="solid">
        <fgColor rgb="FF54585A"/>
        <bgColor indexed="64"/>
      </patternFill>
    </fill>
    <fill>
      <patternFill patternType="solid">
        <fgColor rgb="FF44546A"/>
        <bgColor indexed="64"/>
      </patternFill>
    </fill>
    <fill>
      <patternFill patternType="solid">
        <fgColor rgb="FF000000"/>
        <bgColor indexed="64"/>
      </patternFill>
    </fill>
    <fill>
      <patternFill patternType="solid">
        <fgColor rgb="FF4472C4"/>
        <bgColor indexed="64"/>
      </patternFill>
    </fill>
    <fill>
      <patternFill patternType="solid">
        <fgColor rgb="FFED7D31"/>
        <bgColor indexed="64"/>
      </patternFill>
    </fill>
    <fill>
      <patternFill patternType="solid">
        <fgColor rgb="FF7030A0"/>
        <bgColor indexed="64"/>
      </patternFill>
    </fill>
    <fill>
      <patternFill patternType="solid">
        <fgColor rgb="FF833C0C"/>
        <bgColor indexed="64"/>
      </patternFill>
    </fill>
    <fill>
      <patternFill patternType="solid">
        <fgColor rgb="FF375623"/>
        <bgColor indexed="64"/>
      </patternFill>
    </fill>
    <fill>
      <patternFill patternType="solid">
        <fgColor theme="0" tint="-0.249977111117893"/>
        <bgColor indexed="64"/>
      </patternFill>
    </fill>
    <fill>
      <patternFill patternType="solid">
        <fgColor theme="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darkGray">
        <bgColor indexed="12"/>
      </patternFill>
    </fill>
    <fill>
      <patternFill patternType="solid">
        <fgColor rgb="FF5B9BD5"/>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CC99"/>
        <bgColor indexed="64"/>
      </patternFill>
    </fill>
    <fill>
      <patternFill patternType="solid">
        <fgColor theme="4"/>
        <bgColor indexed="64"/>
      </patternFill>
    </fill>
    <fill>
      <patternFill patternType="solid">
        <fgColor theme="0" tint="-0.14996795556505021"/>
        <bgColor indexed="64"/>
      </patternFill>
    </fill>
    <fill>
      <patternFill patternType="solid">
        <fgColor theme="5"/>
        <bgColor indexed="64"/>
      </patternFill>
    </fill>
    <fill>
      <patternFill patternType="solid">
        <fgColor theme="3"/>
        <bgColor indexed="64"/>
      </patternFill>
    </fill>
    <fill>
      <patternFill patternType="solid">
        <fgColor theme="8" tint="0.79998168889431442"/>
        <bgColor indexed="64"/>
      </patternFill>
    </fill>
    <fill>
      <patternFill patternType="solid">
        <fgColor theme="3" tint="0.39997558519241921"/>
        <bgColor indexed="64"/>
      </patternFill>
    </fill>
    <fill>
      <patternFill patternType="solid">
        <fgColor rgb="FFFFC000"/>
        <bgColor indexed="64"/>
      </patternFill>
    </fill>
    <fill>
      <patternFill patternType="solid">
        <fgColor theme="5" tint="0.59999389629810485"/>
        <bgColor indexed="64"/>
      </patternFill>
    </fill>
    <fill>
      <patternFill patternType="solid">
        <fgColor theme="3" tint="-0.499984740745262"/>
        <bgColor indexed="64"/>
      </patternFill>
    </fill>
    <fill>
      <patternFill patternType="solid">
        <fgColor theme="4" tint="0.59999389629810485"/>
        <bgColor indexed="64"/>
      </patternFill>
    </fill>
    <fill>
      <patternFill patternType="solid">
        <fgColor rgb="FFBF8F00"/>
        <bgColor indexed="64"/>
      </patternFill>
    </fill>
    <fill>
      <patternFill patternType="solid">
        <fgColor rgb="FFAEAAAA"/>
        <bgColor indexed="64"/>
      </patternFill>
    </fill>
    <fill>
      <patternFill patternType="solid">
        <fgColor rgb="FF8497B0"/>
        <bgColor indexed="64"/>
      </patternFill>
    </fill>
    <fill>
      <patternFill patternType="solid">
        <fgColor theme="3" tint="0.79998168889431442"/>
        <bgColor indexed="64"/>
      </patternFill>
    </fill>
  </fills>
  <borders count="112">
    <border>
      <left/>
      <right/>
      <top/>
      <bottom/>
      <diagonal/>
    </border>
    <border>
      <left/>
      <right/>
      <top/>
      <bottom style="medium">
        <color indexed="64"/>
      </bottom>
      <diagonal/>
    </border>
    <border>
      <left/>
      <right/>
      <top style="medium">
        <color auto="1"/>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auto="1"/>
      </right>
      <top style="medium">
        <color auto="1"/>
      </top>
      <bottom style="medium">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auto="1"/>
      </left>
      <right/>
      <top style="medium">
        <color auto="1"/>
      </top>
      <bottom style="thin">
        <color auto="1"/>
      </bottom>
      <diagonal/>
    </border>
    <border>
      <left style="medium">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auto="1"/>
      </left>
      <right style="thin">
        <color auto="1"/>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medium">
        <color indexed="64"/>
      </bottom>
      <diagonal/>
    </border>
    <border>
      <left/>
      <right/>
      <top/>
      <bottom style="medium">
        <color rgb="FFC8102E"/>
      </bottom>
      <diagonal/>
    </border>
    <border>
      <left/>
      <right/>
      <top style="medium">
        <color rgb="FFC8102E"/>
      </top>
      <bottom/>
      <diagonal/>
    </border>
    <border>
      <left/>
      <right style="thin">
        <color indexed="64"/>
      </right>
      <top style="thin">
        <color indexed="64"/>
      </top>
      <bottom style="thin">
        <color indexed="64"/>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hair">
        <color indexed="64"/>
      </bottom>
      <diagonal/>
    </border>
    <border>
      <left/>
      <right/>
      <top/>
      <bottom style="dashed">
        <color rgb="FFBFBFBF"/>
      </bottom>
      <diagonal/>
    </border>
    <border>
      <left/>
      <right/>
      <top/>
      <bottom style="thin">
        <color indexed="22"/>
      </bottom>
      <diagonal/>
    </border>
    <border>
      <left/>
      <right/>
      <top/>
      <bottom style="hair">
        <color indexed="8"/>
      </bottom>
      <diagonal/>
    </border>
    <border>
      <left/>
      <right/>
      <top/>
      <bottom style="thin">
        <color rgb="FFC00000"/>
      </bottom>
      <diagonal/>
    </border>
    <border>
      <left style="medium">
        <color rgb="FF000000"/>
      </left>
      <right style="medium">
        <color rgb="FF000000"/>
      </right>
      <top/>
      <bottom/>
      <diagonal/>
    </border>
    <border>
      <left/>
      <right style="thin">
        <color indexed="64"/>
      </right>
      <top/>
      <bottom style="thin">
        <color indexed="64"/>
      </bottom>
      <diagonal/>
    </border>
    <border>
      <left/>
      <right style="thin">
        <color auto="1"/>
      </right>
      <top style="medium">
        <color indexed="64"/>
      </top>
      <bottom style="thin">
        <color auto="1"/>
      </bottom>
      <diagonal/>
    </border>
    <border>
      <left style="thin">
        <color indexed="64"/>
      </left>
      <right/>
      <top/>
      <bottom style="thin">
        <color indexed="64"/>
      </bottom>
      <diagonal/>
    </border>
    <border>
      <left/>
      <right/>
      <top/>
      <bottom style="thin">
        <color indexed="64"/>
      </bottom>
      <diagonal/>
    </border>
    <border>
      <left style="thin">
        <color auto="1"/>
      </left>
      <right style="medium">
        <color indexed="64"/>
      </right>
      <top style="medium">
        <color indexed="64"/>
      </top>
      <bottom style="thin">
        <color auto="1"/>
      </bottom>
      <diagonal/>
    </border>
    <border>
      <left style="medium">
        <color indexed="64"/>
      </left>
      <right style="thin">
        <color auto="1"/>
      </right>
      <top style="medium">
        <color indexed="64"/>
      </top>
      <bottom style="thin">
        <color auto="1"/>
      </bottom>
      <diagonal/>
    </border>
    <border>
      <left style="medium">
        <color indexed="64"/>
      </left>
      <right/>
      <top style="medium">
        <color indexed="64"/>
      </top>
      <bottom style="thin">
        <color indexed="64"/>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auto="1"/>
      </left>
      <right style="thin">
        <color auto="1"/>
      </right>
      <top/>
      <bottom style="medium">
        <color auto="1"/>
      </bottom>
      <diagonal/>
    </border>
    <border>
      <left style="thin">
        <color auto="1"/>
      </left>
      <right style="thin">
        <color auto="1"/>
      </right>
      <top/>
      <bottom/>
      <diagonal/>
    </border>
    <border>
      <left style="thin">
        <color indexed="64"/>
      </left>
      <right/>
      <top/>
      <bottom/>
      <diagonal/>
    </border>
    <border>
      <left/>
      <right/>
      <top/>
      <bottom style="thin">
        <color indexed="22"/>
      </bottom>
      <diagonal/>
    </border>
    <border>
      <left style="medium">
        <color indexed="64"/>
      </left>
      <right/>
      <top style="medium">
        <color indexed="64"/>
      </top>
      <bottom style="medium">
        <color indexed="64"/>
      </bottom>
      <diagonal/>
    </border>
    <border>
      <left style="medium">
        <color auto="1"/>
      </left>
      <right/>
      <top style="medium">
        <color auto="1"/>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1" tint="0.499984740745262"/>
      </bottom>
      <diagonal/>
    </border>
    <border>
      <left/>
      <right/>
      <top style="thin">
        <color theme="1" tint="0.499984740745262"/>
      </top>
      <bottom style="thin">
        <color theme="1" tint="0.499984740745262"/>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top/>
      <bottom/>
      <diagonal/>
    </border>
    <border>
      <left/>
      <right style="medium">
        <color theme="3"/>
      </right>
      <top/>
      <bottom/>
      <diagonal/>
    </border>
    <border>
      <left style="medium">
        <color theme="3"/>
      </left>
      <right/>
      <top/>
      <bottom style="thin">
        <color theme="1" tint="0.499984740745262"/>
      </bottom>
      <diagonal/>
    </border>
    <border>
      <left/>
      <right style="medium">
        <color theme="3"/>
      </right>
      <top/>
      <bottom style="thin">
        <color theme="1" tint="0.499984740745262"/>
      </bottom>
      <diagonal/>
    </border>
    <border>
      <left style="medium">
        <color theme="3"/>
      </left>
      <right/>
      <top style="thin">
        <color theme="1" tint="0.499984740745262"/>
      </top>
      <bottom style="thin">
        <color theme="1" tint="0.499984740745262"/>
      </bottom>
      <diagonal/>
    </border>
    <border>
      <left/>
      <right style="medium">
        <color theme="3"/>
      </right>
      <top style="thin">
        <color theme="1" tint="0.499984740745262"/>
      </top>
      <bottom style="thin">
        <color theme="1" tint="0.499984740745262"/>
      </bottom>
      <diagonal/>
    </border>
    <border>
      <left style="medium">
        <color theme="3"/>
      </left>
      <right/>
      <top style="thin">
        <color theme="1" tint="0.499984740745262"/>
      </top>
      <bottom style="medium">
        <color theme="3"/>
      </bottom>
      <diagonal/>
    </border>
    <border>
      <left/>
      <right/>
      <top style="thin">
        <color theme="1" tint="0.499984740745262"/>
      </top>
      <bottom style="medium">
        <color theme="3"/>
      </bottom>
      <diagonal/>
    </border>
    <border>
      <left/>
      <right style="medium">
        <color theme="3"/>
      </right>
      <top style="thin">
        <color theme="1" tint="0.499984740745262"/>
      </top>
      <bottom style="medium">
        <color theme="3"/>
      </bottom>
      <diagonal/>
    </border>
    <border>
      <left style="medium">
        <color indexed="64"/>
      </left>
      <right style="thin">
        <color indexed="64"/>
      </right>
      <top style="medium">
        <color indexed="64"/>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right style="thin">
        <color indexed="64"/>
      </right>
      <top style="medium">
        <color indexed="64"/>
      </top>
      <bottom style="medium">
        <color indexed="64"/>
      </bottom>
      <diagonal/>
    </border>
    <border>
      <left style="medium">
        <color rgb="FF000000"/>
      </left>
      <right style="medium">
        <color rgb="FF000000"/>
      </right>
      <top/>
      <bottom style="medium">
        <color indexed="64"/>
      </bottom>
      <diagonal/>
    </border>
    <border>
      <left style="medium">
        <color rgb="FF000000"/>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9"/>
      </left>
      <right style="thin">
        <color indexed="9"/>
      </right>
      <top style="thin">
        <color indexed="9"/>
      </top>
      <bottom style="thin">
        <color indexed="9"/>
      </bottom>
      <diagonal/>
    </border>
    <border>
      <left style="medium">
        <color auto="1"/>
      </left>
      <right style="thin">
        <color auto="1"/>
      </right>
      <top style="thin">
        <color auto="1"/>
      </top>
      <bottom/>
      <diagonal/>
    </border>
    <border>
      <left/>
      <right style="medium">
        <color auto="1"/>
      </right>
      <top style="thin">
        <color auto="1"/>
      </top>
      <bottom/>
      <diagonal/>
    </border>
    <border>
      <left style="thin">
        <color auto="1"/>
      </left>
      <right style="medium">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12">
    <xf numFmtId="0" fontId="0" fillId="0" borderId="0"/>
    <xf numFmtId="0" fontId="1" fillId="0" borderId="0"/>
    <xf numFmtId="0" fontId="4" fillId="0" borderId="0" applyNumberFormat="0" applyFill="0" applyBorder="0" applyAlignment="0" applyProtection="0"/>
    <xf numFmtId="9" fontId="1" fillId="0" borderId="0" applyFont="0" applyFill="0" applyBorder="0" applyAlignment="0" applyProtection="0"/>
    <xf numFmtId="0" fontId="15" fillId="0" borderId="0" applyNumberForma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xf numFmtId="43" fontId="39" fillId="0" borderId="0" applyFont="0" applyFill="0" applyBorder="0" applyAlignment="0" applyProtection="0"/>
    <xf numFmtId="9" fontId="39" fillId="0" borderId="0" applyFont="0" applyFill="0" applyBorder="0" applyAlignment="0" applyProtection="0"/>
    <xf numFmtId="44" fontId="39" fillId="0" borderId="0" applyFont="0" applyFill="0" applyBorder="0" applyAlignment="0" applyProtection="0"/>
    <xf numFmtId="0" fontId="39" fillId="0" borderId="0"/>
    <xf numFmtId="43" fontId="39" fillId="0" borderId="0" applyFont="0" applyFill="0" applyBorder="0" applyAlignment="0" applyProtection="0"/>
    <xf numFmtId="9" fontId="39" fillId="0" borderId="0" applyFont="0" applyFill="0" applyBorder="0" applyAlignment="0" applyProtection="0"/>
    <xf numFmtId="44" fontId="39" fillId="0" borderId="0" applyFont="0" applyFill="0" applyBorder="0" applyAlignment="0" applyProtection="0"/>
    <xf numFmtId="9" fontId="39" fillId="0" borderId="0" applyFont="0" applyFill="0" applyBorder="0" applyAlignment="0" applyProtection="0"/>
    <xf numFmtId="0" fontId="39"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176"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xf numFmtId="0" fontId="1" fillId="38" borderId="0"/>
    <xf numFmtId="0" fontId="38" fillId="14" borderId="0" applyNumberFormat="0" applyBorder="0" applyAlignment="0" applyProtection="0"/>
    <xf numFmtId="0" fontId="38" fillId="18" borderId="0" applyNumberFormat="0" applyBorder="0" applyAlignment="0" applyProtection="0"/>
    <xf numFmtId="0" fontId="38" fillId="22" borderId="0" applyNumberFormat="0" applyBorder="0" applyAlignment="0" applyProtection="0"/>
    <xf numFmtId="0" fontId="38" fillId="26" borderId="0" applyNumberFormat="0" applyBorder="0" applyAlignment="0" applyProtection="0"/>
    <xf numFmtId="0" fontId="38" fillId="30" borderId="0" applyNumberFormat="0" applyBorder="0" applyAlignment="0" applyProtection="0"/>
    <xf numFmtId="0" fontId="38" fillId="34" borderId="0" applyNumberFormat="0" applyBorder="0" applyAlignment="0" applyProtection="0"/>
    <xf numFmtId="0" fontId="38" fillId="11" borderId="0" applyNumberFormat="0" applyBorder="0" applyAlignment="0" applyProtection="0"/>
    <xf numFmtId="0" fontId="38" fillId="11" borderId="0" applyNumberFormat="0" applyBorder="0" applyAlignment="0" applyProtection="0"/>
    <xf numFmtId="0" fontId="38" fillId="11" borderId="0" applyNumberFormat="0" applyBorder="0" applyAlignment="0" applyProtection="0"/>
    <xf numFmtId="0" fontId="38"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7" fillId="11" borderId="0" applyNumberFormat="0" applyBorder="0" applyAlignment="0" applyProtection="0"/>
    <xf numFmtId="0" fontId="48" fillId="11" borderId="0" applyNumberFormat="0" applyBorder="0" applyAlignment="0" applyProtection="0"/>
    <xf numFmtId="0" fontId="38" fillId="15" borderId="0" applyNumberFormat="0" applyBorder="0" applyAlignment="0" applyProtection="0"/>
    <xf numFmtId="0" fontId="38" fillId="15" borderId="0" applyNumberFormat="0" applyBorder="0" applyAlignment="0" applyProtection="0"/>
    <xf numFmtId="0" fontId="38" fillId="15" borderId="0" applyNumberFormat="0" applyBorder="0" applyAlignment="0" applyProtection="0"/>
    <xf numFmtId="0" fontId="38" fillId="15" borderId="0" applyNumberFormat="0" applyBorder="0" applyAlignment="0" applyProtection="0"/>
    <xf numFmtId="0" fontId="46" fillId="15" borderId="0" applyNumberFormat="0" applyBorder="0" applyAlignment="0" applyProtection="0"/>
    <xf numFmtId="177" fontId="49" fillId="15" borderId="0" applyNumberFormat="0" applyBorder="0" applyAlignment="0" applyProtection="0"/>
    <xf numFmtId="0" fontId="47" fillId="15" borderId="0" applyNumberFormat="0" applyBorder="0" applyAlignment="0" applyProtection="0"/>
    <xf numFmtId="0" fontId="48" fillId="15" borderId="0" applyNumberFormat="0" applyBorder="0" applyAlignment="0" applyProtection="0"/>
    <xf numFmtId="0" fontId="38" fillId="19" borderId="0" applyNumberFormat="0" applyBorder="0" applyAlignment="0" applyProtection="0"/>
    <xf numFmtId="0" fontId="38" fillId="19" borderId="0" applyNumberFormat="0" applyBorder="0" applyAlignment="0" applyProtection="0"/>
    <xf numFmtId="0" fontId="38" fillId="19" borderId="0" applyNumberFormat="0" applyBorder="0" applyAlignment="0" applyProtection="0"/>
    <xf numFmtId="0" fontId="38" fillId="19" borderId="0" applyNumberFormat="0" applyBorder="0" applyAlignment="0" applyProtection="0"/>
    <xf numFmtId="0" fontId="47" fillId="19" borderId="0" applyNumberFormat="0" applyBorder="0" applyAlignment="0" applyProtection="0"/>
    <xf numFmtId="0" fontId="48" fillId="19" borderId="0" applyNumberFormat="0" applyBorder="0" applyAlignment="0" applyProtection="0"/>
    <xf numFmtId="0" fontId="38" fillId="23" borderId="0" applyNumberFormat="0" applyBorder="0" applyAlignment="0" applyProtection="0"/>
    <xf numFmtId="0" fontId="38" fillId="23" borderId="0" applyNumberFormat="0" applyBorder="0" applyAlignment="0" applyProtection="0"/>
    <xf numFmtId="0" fontId="38" fillId="23" borderId="0" applyNumberFormat="0" applyBorder="0" applyAlignment="0" applyProtection="0"/>
    <xf numFmtId="0" fontId="38" fillId="23" borderId="0" applyNumberFormat="0" applyBorder="0" applyAlignment="0" applyProtection="0"/>
    <xf numFmtId="0" fontId="38" fillId="27" borderId="0" applyNumberFormat="0" applyBorder="0" applyAlignment="0" applyProtection="0"/>
    <xf numFmtId="0" fontId="38" fillId="31" borderId="0" applyNumberFormat="0" applyBorder="0" applyAlignment="0" applyProtection="0"/>
    <xf numFmtId="178" fontId="43" fillId="0" borderId="0">
      <alignment vertical="center"/>
    </xf>
    <xf numFmtId="0" fontId="30" fillId="5" borderId="0" applyNumberFormat="0" applyBorder="0" applyAlignment="0" applyProtection="0"/>
    <xf numFmtId="177" fontId="50" fillId="5" borderId="0" applyNumberFormat="0" applyBorder="0" applyAlignment="0" applyProtection="0"/>
    <xf numFmtId="0" fontId="51" fillId="0" borderId="38" applyNumberFormat="0" applyFont="0" applyProtection="0">
      <alignment wrapText="1"/>
    </xf>
    <xf numFmtId="0" fontId="33" fillId="8" borderId="31" applyNumberFormat="0" applyAlignment="0" applyProtection="0"/>
    <xf numFmtId="0" fontId="33" fillId="8" borderId="31" applyNumberFormat="0" applyAlignment="0" applyProtection="0"/>
    <xf numFmtId="0" fontId="52" fillId="8" borderId="31" applyNumberFormat="0" applyAlignment="0" applyProtection="0"/>
    <xf numFmtId="0" fontId="53" fillId="8" borderId="31" applyNumberFormat="0" applyAlignment="0" applyProtection="0"/>
    <xf numFmtId="0" fontId="35" fillId="9" borderId="34" applyNumberFormat="0" applyAlignment="0" applyProtection="0"/>
    <xf numFmtId="0" fontId="1" fillId="39" borderId="0"/>
    <xf numFmtId="0" fontId="1" fillId="40" borderId="0"/>
    <xf numFmtId="0" fontId="1" fillId="41" borderId="0"/>
    <xf numFmtId="0" fontId="1" fillId="42" borderId="0"/>
    <xf numFmtId="0" fontId="54" fillId="0" borderId="0">
      <alignment horizontal="center" vertical="center" wrapText="1"/>
    </xf>
    <xf numFmtId="43" fontId="44" fillId="0" borderId="0" applyFont="0" applyFill="0" applyBorder="0" applyAlignment="0" applyProtection="0">
      <alignment vertical="top"/>
    </xf>
    <xf numFmtId="43" fontId="55" fillId="0" borderId="0" applyFont="0" applyFill="0" applyBorder="0" applyAlignment="0" applyProtection="0"/>
    <xf numFmtId="43" fontId="5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3" fontId="39" fillId="0" borderId="0" applyFont="0" applyFill="0" applyBorder="0" applyAlignment="0" applyProtection="0"/>
    <xf numFmtId="0" fontId="59" fillId="0" borderId="0">
      <alignment horizontal="left" vertical="center" wrapText="1"/>
    </xf>
    <xf numFmtId="44" fontId="44" fillId="0" borderId="0" applyFont="0" applyFill="0" applyBorder="0" applyAlignment="0" applyProtection="0">
      <alignment vertical="top"/>
    </xf>
    <xf numFmtId="44" fontId="44" fillId="0" borderId="0" applyFont="0" applyFill="0" applyBorder="0" applyAlignment="0" applyProtection="0">
      <alignment vertical="top"/>
    </xf>
    <xf numFmtId="44" fontId="55"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58" fillId="0" borderId="0" applyFont="0" applyFill="0" applyBorder="0" applyAlignment="0" applyProtection="0"/>
    <xf numFmtId="173" fontId="39" fillId="0" borderId="0" applyFont="0" applyFill="0" applyBorder="0" applyAlignment="0" applyProtection="0"/>
    <xf numFmtId="179" fontId="60" fillId="0" borderId="39" applyNumberFormat="0" applyFill="0">
      <alignment horizontal="right"/>
    </xf>
    <xf numFmtId="179" fontId="60" fillId="0" borderId="39" applyNumberFormat="0" applyFill="0">
      <alignment horizontal="right"/>
    </xf>
    <xf numFmtId="180" fontId="61" fillId="0" borderId="39">
      <alignment horizontal="right" vertical="center"/>
    </xf>
    <xf numFmtId="49" fontId="62" fillId="0" borderId="39">
      <alignment horizontal="left" vertical="center"/>
    </xf>
    <xf numFmtId="179" fontId="60" fillId="0" borderId="39" applyNumberFormat="0" applyFill="0">
      <alignment horizontal="right"/>
    </xf>
    <xf numFmtId="181" fontId="60" fillId="0" borderId="39">
      <alignment horizontal="right"/>
    </xf>
    <xf numFmtId="0" fontId="39" fillId="0" borderId="0" applyFont="0" applyFill="0" applyBorder="0" applyAlignment="0" applyProtection="0"/>
    <xf numFmtId="0" fontId="37" fillId="0" borderId="0" applyNumberFormat="0" applyFill="0" applyBorder="0" applyAlignment="0" applyProtection="0"/>
    <xf numFmtId="2" fontId="39" fillId="0" borderId="0" applyFont="0" applyFill="0" applyBorder="0" applyAlignment="0" applyProtection="0"/>
    <xf numFmtId="0" fontId="29" fillId="4" borderId="0" applyNumberFormat="0" applyBorder="0" applyAlignment="0" applyProtection="0"/>
    <xf numFmtId="38" fontId="42" fillId="36" borderId="0" applyNumberFormat="0" applyBorder="0" applyAlignment="0" applyProtection="0"/>
    <xf numFmtId="0" fontId="27" fillId="0" borderId="28" applyNumberFormat="0" applyFill="0" applyAlignment="0" applyProtection="0"/>
    <xf numFmtId="0" fontId="28" fillId="0" borderId="29" applyNumberFormat="0" applyFill="0" applyAlignment="0" applyProtection="0"/>
    <xf numFmtId="0" fontId="28" fillId="0" borderId="29" applyNumberFormat="0" applyFill="0" applyAlignment="0" applyProtection="0"/>
    <xf numFmtId="0" fontId="63" fillId="0" borderId="29" applyNumberFormat="0" applyFill="0" applyAlignment="0" applyProtection="0"/>
    <xf numFmtId="0" fontId="64" fillId="0" borderId="29" applyNumberFormat="0" applyFill="0" applyAlignment="0" applyProtection="0"/>
    <xf numFmtId="0" fontId="2" fillId="0" borderId="30" applyNumberFormat="0" applyFill="0" applyAlignment="0" applyProtection="0"/>
    <xf numFmtId="0" fontId="2" fillId="0" borderId="0" applyNumberFormat="0" applyFill="0" applyBorder="0" applyAlignment="0" applyProtection="0"/>
    <xf numFmtId="177" fontId="65" fillId="0" borderId="39">
      <alignment horizontal="left"/>
    </xf>
    <xf numFmtId="177" fontId="65" fillId="0" borderId="39">
      <alignment horizontal="left"/>
    </xf>
    <xf numFmtId="0" fontId="66" fillId="0" borderId="37">
      <alignment horizontal="right" vertical="center"/>
    </xf>
    <xf numFmtId="0" fontId="67" fillId="0" borderId="39">
      <alignment horizontal="left" vertical="center"/>
    </xf>
    <xf numFmtId="0" fontId="60" fillId="0" borderId="39">
      <alignment horizontal="left" vertical="center"/>
    </xf>
    <xf numFmtId="0" fontId="65" fillId="0" borderId="39">
      <alignment horizontal="left"/>
    </xf>
    <xf numFmtId="177" fontId="65" fillId="43" borderId="0">
      <alignment horizontal="centerContinuous" wrapText="1"/>
    </xf>
    <xf numFmtId="49" fontId="65" fillId="43" borderId="22">
      <alignment horizontal="left" vertical="center"/>
    </xf>
    <xf numFmtId="177" fontId="65" fillId="43" borderId="0">
      <alignment horizontal="centerContinuous" wrapText="1"/>
    </xf>
    <xf numFmtId="0" fontId="65" fillId="43" borderId="0">
      <alignment horizontal="centerContinuous" vertical="center" wrapText="1"/>
    </xf>
    <xf numFmtId="0" fontId="68" fillId="0" borderId="0" applyNumberFormat="0" applyFill="0" applyBorder="0" applyAlignment="0" applyProtection="0">
      <alignment vertical="top"/>
      <protection locked="0"/>
    </xf>
    <xf numFmtId="0" fontId="68" fillId="0" borderId="0" applyNumberFormat="0" applyFill="0" applyBorder="0" applyAlignment="0" applyProtection="0">
      <alignment vertical="top"/>
      <protection locked="0"/>
    </xf>
    <xf numFmtId="0" fontId="68" fillId="0" borderId="0" applyNumberFormat="0" applyFill="0" applyBorder="0" applyAlignment="0" applyProtection="0">
      <alignment vertical="top"/>
      <protection locked="0"/>
    </xf>
    <xf numFmtId="0" fontId="4" fillId="0" borderId="0" applyNumberFormat="0" applyFill="0" applyBorder="0" applyAlignment="0" applyProtection="0"/>
    <xf numFmtId="10" fontId="42" fillId="35" borderId="14" applyNumberFormat="0" applyBorder="0" applyAlignment="0" applyProtection="0"/>
    <xf numFmtId="0" fontId="69" fillId="7" borderId="31" applyNumberFormat="0" applyAlignment="0" applyProtection="0"/>
    <xf numFmtId="0" fontId="69" fillId="7" borderId="31" applyNumberFormat="0" applyAlignment="0" applyProtection="0"/>
    <xf numFmtId="0" fontId="69" fillId="7" borderId="31" applyNumberFormat="0" applyAlignment="0" applyProtection="0"/>
    <xf numFmtId="0" fontId="69" fillId="7" borderId="31" applyNumberFormat="0" applyAlignment="0" applyProtection="0"/>
    <xf numFmtId="0" fontId="69" fillId="7" borderId="31" applyNumberFormat="0" applyAlignment="0" applyProtection="0"/>
    <xf numFmtId="0" fontId="70" fillId="7" borderId="31" applyNumberFormat="0" applyAlignment="0" applyProtection="0"/>
    <xf numFmtId="0" fontId="31" fillId="7" borderId="31" applyNumberFormat="0" applyAlignment="0" applyProtection="0"/>
    <xf numFmtId="0" fontId="31" fillId="7" borderId="31" applyNumberFormat="0" applyAlignment="0" applyProtection="0"/>
    <xf numFmtId="0" fontId="31" fillId="7" borderId="31" applyNumberFormat="0" applyAlignment="0" applyProtection="0"/>
    <xf numFmtId="0" fontId="31" fillId="7" borderId="31" applyNumberFormat="0" applyAlignment="0" applyProtection="0"/>
    <xf numFmtId="0" fontId="71" fillId="0" borderId="31" applyNumberFormat="0" applyAlignment="0" applyProtection="0"/>
    <xf numFmtId="0" fontId="71" fillId="0" borderId="31" applyNumberFormat="0" applyAlignment="0" applyProtection="0"/>
    <xf numFmtId="0" fontId="71" fillId="0" borderId="31" applyNumberFormat="0" applyAlignment="0" applyProtection="0"/>
    <xf numFmtId="0" fontId="71" fillId="0" borderId="31" applyNumberFormat="0" applyAlignment="0" applyProtection="0"/>
    <xf numFmtId="0" fontId="31" fillId="7" borderId="31" applyNumberFormat="0" applyAlignment="0" applyProtection="0"/>
    <xf numFmtId="0" fontId="31" fillId="7" borderId="31" applyNumberFormat="0" applyAlignment="0" applyProtection="0"/>
    <xf numFmtId="0" fontId="69" fillId="7" borderId="31" applyNumberFormat="0" applyAlignment="0" applyProtection="0"/>
    <xf numFmtId="0" fontId="69" fillId="7" borderId="31" applyNumberFormat="0" applyAlignment="0" applyProtection="0"/>
    <xf numFmtId="0" fontId="69" fillId="7" borderId="31" applyNumberFormat="0" applyAlignment="0" applyProtection="0"/>
    <xf numFmtId="0" fontId="34" fillId="0" borderId="33" applyNumberFormat="0" applyFill="0" applyAlignment="0" applyProtection="0"/>
    <xf numFmtId="0" fontId="45" fillId="6" borderId="0" applyNumberFormat="0" applyBorder="0" applyAlignment="0" applyProtection="0"/>
    <xf numFmtId="182"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9" fillId="0" borderId="0"/>
    <xf numFmtId="0" fontId="39" fillId="0" borderId="0"/>
    <xf numFmtId="0" fontId="39" fillId="0" borderId="0"/>
    <xf numFmtId="0" fontId="44" fillId="0" borderId="0">
      <alignment vertical="top"/>
    </xf>
    <xf numFmtId="177" fontId="55" fillId="0" borderId="0"/>
    <xf numFmtId="0" fontId="73" fillId="0" borderId="0"/>
    <xf numFmtId="0" fontId="1" fillId="0" borderId="0"/>
    <xf numFmtId="0" fontId="44" fillId="0" borderId="0">
      <alignment vertical="top"/>
    </xf>
    <xf numFmtId="0" fontId="1" fillId="0" borderId="0"/>
    <xf numFmtId="0" fontId="1" fillId="0" borderId="0"/>
    <xf numFmtId="0" fontId="1" fillId="0" borderId="0"/>
    <xf numFmtId="0" fontId="1" fillId="0" borderId="0"/>
    <xf numFmtId="0" fontId="74" fillId="0" borderId="0"/>
    <xf numFmtId="0" fontId="1" fillId="0" borderId="0"/>
    <xf numFmtId="0" fontId="58" fillId="0" borderId="0"/>
    <xf numFmtId="0" fontId="1" fillId="0" borderId="0"/>
    <xf numFmtId="0" fontId="1" fillId="0" borderId="0"/>
    <xf numFmtId="0" fontId="1" fillId="0" borderId="0"/>
    <xf numFmtId="176" fontId="1" fillId="0" borderId="0"/>
    <xf numFmtId="0" fontId="1" fillId="0" borderId="0"/>
    <xf numFmtId="177" fontId="39" fillId="0" borderId="0"/>
    <xf numFmtId="0" fontId="39" fillId="0" borderId="0"/>
    <xf numFmtId="0" fontId="75" fillId="0" borderId="0"/>
    <xf numFmtId="0" fontId="39" fillId="0" borderId="0"/>
    <xf numFmtId="0" fontId="39" fillId="0" borderId="0"/>
    <xf numFmtId="0" fontId="39" fillId="0" borderId="0"/>
    <xf numFmtId="0" fontId="39" fillId="0" borderId="0"/>
    <xf numFmtId="0" fontId="39" fillId="0" borderId="0"/>
    <xf numFmtId="0" fontId="1" fillId="0" borderId="0"/>
    <xf numFmtId="177" fontId="39" fillId="0" borderId="0"/>
    <xf numFmtId="176" fontId="1" fillId="0" borderId="0"/>
    <xf numFmtId="177" fontId="41" fillId="0" borderId="0"/>
    <xf numFmtId="177" fontId="41" fillId="0" borderId="0"/>
    <xf numFmtId="0" fontId="74" fillId="0" borderId="0"/>
    <xf numFmtId="0" fontId="76" fillId="0" borderId="0"/>
    <xf numFmtId="0" fontId="76" fillId="0" borderId="0"/>
    <xf numFmtId="176" fontId="1" fillId="0" borderId="0"/>
    <xf numFmtId="177" fontId="55" fillId="0" borderId="0"/>
    <xf numFmtId="0" fontId="1" fillId="0" borderId="0"/>
    <xf numFmtId="0" fontId="1" fillId="0" borderId="0"/>
    <xf numFmtId="0" fontId="1" fillId="0" borderId="0"/>
    <xf numFmtId="0" fontId="1" fillId="0" borderId="0"/>
    <xf numFmtId="0" fontId="77" fillId="0" borderId="0"/>
    <xf numFmtId="0" fontId="1" fillId="10" borderId="35" applyNumberFormat="0" applyFont="0" applyAlignment="0" applyProtection="0"/>
    <xf numFmtId="0" fontId="73" fillId="10" borderId="35" applyNumberFormat="0" applyFont="0" applyAlignment="0" applyProtection="0"/>
    <xf numFmtId="0" fontId="32" fillId="8" borderId="32" applyNumberFormat="0" applyAlignment="0" applyProtection="0"/>
    <xf numFmtId="10" fontId="39" fillId="0" borderId="0" applyFont="0" applyFill="0" applyBorder="0" applyAlignment="0" applyProtection="0"/>
    <xf numFmtId="9" fontId="1" fillId="0" borderId="0" applyFont="0" applyFill="0" applyBorder="0" applyAlignment="0" applyProtection="0"/>
    <xf numFmtId="9" fontId="74" fillId="0" borderId="0" applyFont="0" applyFill="0" applyBorder="0" applyAlignment="0" applyProtection="0"/>
    <xf numFmtId="9" fontId="58" fillId="0" borderId="0" applyFont="0" applyFill="0" applyBorder="0" applyAlignment="0" applyProtection="0"/>
    <xf numFmtId="9" fontId="1"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44" fillId="0" borderId="0" applyFont="0" applyFill="0" applyBorder="0" applyAlignment="0" applyProtection="0">
      <alignment vertical="top"/>
    </xf>
    <xf numFmtId="9" fontId="55" fillId="0" borderId="0" applyFont="0" applyFill="0" applyBorder="0" applyAlignment="0" applyProtection="0"/>
    <xf numFmtId="9" fontId="76" fillId="0" borderId="0" applyFont="0" applyFill="0" applyBorder="0" applyAlignment="0" applyProtection="0"/>
    <xf numFmtId="9" fontId="77"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7" fillId="0" borderId="0" applyFont="0" applyFill="0" applyBorder="0" applyAlignment="0" applyProtection="0"/>
    <xf numFmtId="9" fontId="1" fillId="0" borderId="0" applyFont="0" applyFill="0" applyBorder="0" applyAlignment="0" applyProtection="0"/>
    <xf numFmtId="0" fontId="39" fillId="0" borderId="0"/>
    <xf numFmtId="3" fontId="61" fillId="0" borderId="0">
      <alignment horizontal="left" vertical="center"/>
    </xf>
    <xf numFmtId="0" fontId="1" fillId="44" borderId="0"/>
    <xf numFmtId="0" fontId="1" fillId="45" borderId="0"/>
    <xf numFmtId="0" fontId="1" fillId="46" borderId="0"/>
    <xf numFmtId="0" fontId="1" fillId="47" borderId="0"/>
    <xf numFmtId="0" fontId="1" fillId="48" borderId="0"/>
    <xf numFmtId="0" fontId="1" fillId="49" borderId="0"/>
    <xf numFmtId="0" fontId="1" fillId="50" borderId="0"/>
    <xf numFmtId="0" fontId="1" fillId="51" borderId="0"/>
    <xf numFmtId="0" fontId="1" fillId="52" borderId="0"/>
    <xf numFmtId="0" fontId="1" fillId="53" borderId="0"/>
    <xf numFmtId="0" fontId="1" fillId="54" borderId="0"/>
    <xf numFmtId="0" fontId="54" fillId="0" borderId="0">
      <alignment horizontal="left" vertical="center"/>
    </xf>
    <xf numFmtId="0" fontId="78" fillId="0" borderId="0">
      <alignment horizontal="right"/>
    </xf>
    <xf numFmtId="49" fontId="78" fillId="0" borderId="0">
      <alignment horizontal="center"/>
    </xf>
    <xf numFmtId="177" fontId="62" fillId="0" borderId="0">
      <alignment horizontal="right"/>
    </xf>
    <xf numFmtId="177" fontId="62" fillId="0" borderId="0">
      <alignment horizontal="right"/>
    </xf>
    <xf numFmtId="177" fontId="78" fillId="0" borderId="0">
      <alignment horizontal="left"/>
    </xf>
    <xf numFmtId="177" fontId="78" fillId="0" borderId="0">
      <alignment horizontal="left"/>
    </xf>
    <xf numFmtId="0" fontId="78" fillId="0" borderId="0">
      <alignment horizontal="left"/>
    </xf>
    <xf numFmtId="49" fontId="61" fillId="0" borderId="0">
      <alignment horizontal="left" vertical="center"/>
    </xf>
    <xf numFmtId="0" fontId="79" fillId="0" borderId="0"/>
    <xf numFmtId="49" fontId="62" fillId="0" borderId="39">
      <alignment horizontal="left" vertical="center"/>
    </xf>
    <xf numFmtId="49" fontId="54" fillId="0" borderId="39" applyFill="0">
      <alignment horizontal="left" vertical="center"/>
    </xf>
    <xf numFmtId="49" fontId="62" fillId="0" borderId="39">
      <alignment horizontal="left"/>
    </xf>
    <xf numFmtId="179" fontId="61" fillId="0" borderId="0" applyNumberFormat="0">
      <alignment horizontal="right"/>
    </xf>
    <xf numFmtId="0" fontId="66" fillId="55" borderId="0">
      <alignment horizontal="centerContinuous" vertical="center" wrapText="1"/>
    </xf>
    <xf numFmtId="0" fontId="66" fillId="0" borderId="40">
      <alignment horizontal="left" vertical="center"/>
    </xf>
    <xf numFmtId="0" fontId="80" fillId="0" borderId="0">
      <alignment horizontal="left" vertical="top"/>
    </xf>
    <xf numFmtId="40" fontId="81" fillId="0" borderId="0"/>
    <xf numFmtId="0" fontId="65" fillId="0" borderId="0">
      <alignment horizontal="left"/>
    </xf>
    <xf numFmtId="0" fontId="59" fillId="0" borderId="0">
      <alignment horizontal="left"/>
    </xf>
    <xf numFmtId="0" fontId="60" fillId="0" borderId="0">
      <alignment horizontal="left"/>
    </xf>
    <xf numFmtId="177" fontId="80" fillId="0" borderId="0">
      <alignment horizontal="left" vertical="top"/>
    </xf>
    <xf numFmtId="177" fontId="80" fillId="0" borderId="0">
      <alignment horizontal="left" vertical="top"/>
    </xf>
    <xf numFmtId="0" fontId="80" fillId="0" borderId="0">
      <alignment horizontal="left" vertical="top"/>
    </xf>
    <xf numFmtId="177" fontId="59" fillId="0" borderId="0">
      <alignment horizontal="left"/>
    </xf>
    <xf numFmtId="177" fontId="59" fillId="0" borderId="0">
      <alignment horizontal="left"/>
    </xf>
    <xf numFmtId="0" fontId="60" fillId="0" borderId="0">
      <alignment horizontal="left"/>
    </xf>
    <xf numFmtId="0" fontId="3" fillId="0" borderId="36" applyNumberFormat="0" applyFill="0" applyAlignment="0" applyProtection="0"/>
    <xf numFmtId="177" fontId="82" fillId="0" borderId="36"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49" fontId="61" fillId="0" borderId="39">
      <alignment horizontal="left"/>
    </xf>
    <xf numFmtId="0" fontId="66" fillId="0" borderId="37">
      <alignment horizontal="left"/>
    </xf>
    <xf numFmtId="0" fontId="65" fillId="0" borderId="0">
      <alignment horizontal="left" vertical="center"/>
    </xf>
    <xf numFmtId="49" fontId="78" fillId="0" borderId="39">
      <alignment horizontal="left"/>
    </xf>
    <xf numFmtId="0" fontId="39" fillId="0" borderId="0"/>
    <xf numFmtId="176" fontId="1" fillId="0" borderId="0"/>
    <xf numFmtId="0" fontId="75" fillId="0" borderId="0"/>
    <xf numFmtId="0" fontId="75" fillId="0" borderId="0"/>
    <xf numFmtId="0" fontId="75" fillId="0" borderId="0"/>
    <xf numFmtId="43" fontId="39" fillId="0" borderId="0" applyFont="0" applyFill="0" applyBorder="0" applyAlignment="0" applyProtection="0"/>
    <xf numFmtId="0" fontId="20" fillId="0" borderId="0"/>
    <xf numFmtId="0" fontId="4" fillId="0" borderId="0" applyNumberFormat="0" applyFill="0" applyBorder="0" applyAlignment="0" applyProtection="0"/>
    <xf numFmtId="0" fontId="39" fillId="0" borderId="0"/>
    <xf numFmtId="0" fontId="106" fillId="0" borderId="0"/>
    <xf numFmtId="0" fontId="75" fillId="0" borderId="0"/>
    <xf numFmtId="0" fontId="75" fillId="0" borderId="0"/>
    <xf numFmtId="0" fontId="4" fillId="0" borderId="0" applyNumberFormat="0" applyFill="0" applyBorder="0" applyAlignment="0" applyProtection="0"/>
    <xf numFmtId="176" fontId="110" fillId="0" borderId="0" applyNumberFormat="0" applyFill="0" applyBorder="0" applyAlignment="0" applyProtection="0">
      <alignment vertical="top"/>
      <protection locked="0"/>
    </xf>
    <xf numFmtId="0" fontId="68" fillId="0" borderId="0" applyNumberFormat="0" applyFill="0" applyBorder="0" applyAlignment="0" applyProtection="0">
      <alignment vertical="top"/>
      <protection locked="0"/>
    </xf>
    <xf numFmtId="179" fontId="60" fillId="0" borderId="59" applyNumberFormat="0" applyFill="0">
      <alignment horizontal="right"/>
    </xf>
    <xf numFmtId="179" fontId="60" fillId="0" borderId="59" applyNumberFormat="0" applyFill="0">
      <alignment horizontal="right"/>
    </xf>
    <xf numFmtId="180" fontId="61" fillId="0" borderId="59">
      <alignment horizontal="right" vertical="center"/>
    </xf>
    <xf numFmtId="49" fontId="62" fillId="0" borderId="59">
      <alignment horizontal="left" vertical="center"/>
    </xf>
    <xf numFmtId="181" fontId="60" fillId="0" borderId="59">
      <alignment horizontal="right"/>
    </xf>
    <xf numFmtId="177" fontId="65" fillId="0" borderId="59">
      <alignment horizontal="left"/>
    </xf>
    <xf numFmtId="177" fontId="65" fillId="0" borderId="59">
      <alignment horizontal="left"/>
    </xf>
    <xf numFmtId="0" fontId="67" fillId="0" borderId="59">
      <alignment horizontal="left" vertical="center"/>
    </xf>
    <xf numFmtId="0" fontId="60" fillId="0" borderId="59">
      <alignment horizontal="left" vertical="center"/>
    </xf>
    <xf numFmtId="49" fontId="65" fillId="43" borderId="46">
      <alignment horizontal="left" vertical="center"/>
    </xf>
    <xf numFmtId="49" fontId="62" fillId="0" borderId="59">
      <alignment horizontal="left" vertical="center"/>
    </xf>
    <xf numFmtId="49" fontId="54" fillId="0" borderId="59" applyFill="0">
      <alignment horizontal="left" vertical="center"/>
    </xf>
    <xf numFmtId="49" fontId="61" fillId="0" borderId="59">
      <alignment horizontal="left"/>
    </xf>
    <xf numFmtId="0" fontId="30" fillId="5" borderId="0" applyNumberFormat="0" applyBorder="0" applyAlignment="0" applyProtection="0"/>
  </cellStyleXfs>
  <cellXfs count="870">
    <xf numFmtId="0" fontId="0" fillId="0" borderId="0" xfId="0"/>
    <xf numFmtId="0" fontId="20" fillId="0" borderId="0" xfId="0" applyFont="1"/>
    <xf numFmtId="0" fontId="21" fillId="3" borderId="0" xfId="0" applyFont="1" applyFill="1" applyAlignment="1">
      <alignment horizontal="center"/>
    </xf>
    <xf numFmtId="0" fontId="20" fillId="0" borderId="0" xfId="0" applyFont="1" applyAlignment="1">
      <alignment horizontal="center"/>
    </xf>
    <xf numFmtId="0" fontId="12" fillId="0" borderId="24" xfId="0" applyFont="1" applyBorder="1" applyAlignment="1">
      <alignment horizontal="center" vertical="center"/>
    </xf>
    <xf numFmtId="0" fontId="20" fillId="0" borderId="0" xfId="0" applyFont="1" applyAlignment="1">
      <alignment horizontal="center" vertical="center"/>
    </xf>
    <xf numFmtId="8" fontId="20" fillId="0" borderId="0" xfId="0" applyNumberFormat="1" applyFont="1" applyAlignment="1">
      <alignment horizontal="center"/>
    </xf>
    <xf numFmtId="0" fontId="0" fillId="0" borderId="0" xfId="0" applyAlignment="1">
      <alignment horizontal="center"/>
    </xf>
    <xf numFmtId="0" fontId="3" fillId="0" borderId="0" xfId="0" applyFont="1"/>
    <xf numFmtId="0" fontId="22" fillId="0" borderId="0" xfId="0" applyFont="1"/>
    <xf numFmtId="10" fontId="20" fillId="0" borderId="0" xfId="0" applyNumberFormat="1" applyFont="1"/>
    <xf numFmtId="2" fontId="20" fillId="0" borderId="0" xfId="0" applyNumberFormat="1" applyFont="1"/>
    <xf numFmtId="6" fontId="20" fillId="0" borderId="0" xfId="0" applyNumberFormat="1" applyFont="1" applyAlignment="1">
      <alignment horizontal="center"/>
    </xf>
    <xf numFmtId="8" fontId="0" fillId="0" borderId="0" xfId="0" applyNumberFormat="1" applyAlignment="1">
      <alignment horizontal="center"/>
    </xf>
    <xf numFmtId="0" fontId="0" fillId="0" borderId="14" xfId="0" applyBorder="1"/>
    <xf numFmtId="9" fontId="0" fillId="0" borderId="0" xfId="0" applyNumberFormat="1" applyAlignment="1">
      <alignment horizontal="center"/>
    </xf>
    <xf numFmtId="4" fontId="0" fillId="0" borderId="0" xfId="0" applyNumberFormat="1" applyAlignment="1">
      <alignment horizontal="center"/>
    </xf>
    <xf numFmtId="0" fontId="3" fillId="0" borderId="0" xfId="0" applyFont="1" applyAlignment="1">
      <alignment horizontal="center"/>
    </xf>
    <xf numFmtId="174" fontId="0" fillId="0" borderId="0" xfId="5" applyNumberFormat="1" applyFont="1"/>
    <xf numFmtId="44" fontId="0" fillId="0" borderId="0" xfId="0" applyNumberFormat="1"/>
    <xf numFmtId="44" fontId="3" fillId="0" borderId="0" xfId="0" applyNumberFormat="1" applyFont="1"/>
    <xf numFmtId="0" fontId="12" fillId="0" borderId="0" xfId="0" applyFont="1"/>
    <xf numFmtId="9" fontId="0" fillId="0" borderId="0" xfId="0" applyNumberFormat="1"/>
    <xf numFmtId="175" fontId="0" fillId="0" borderId="0" xfId="6" applyNumberFormat="1" applyFont="1"/>
    <xf numFmtId="44" fontId="3" fillId="0" borderId="0" xfId="0" applyNumberFormat="1" applyFont="1" applyAlignment="1">
      <alignment horizontal="center"/>
    </xf>
    <xf numFmtId="0" fontId="20" fillId="0" borderId="14" xfId="0" applyFont="1" applyBorder="1"/>
    <xf numFmtId="0" fontId="83" fillId="0" borderId="0" xfId="0" applyFont="1"/>
    <xf numFmtId="0" fontId="0" fillId="0" borderId="0" xfId="0" applyAlignment="1">
      <alignment horizontal="right"/>
    </xf>
    <xf numFmtId="0" fontId="12" fillId="0" borderId="0" xfId="0" applyFont="1" applyAlignment="1">
      <alignment horizontal="center" vertical="center"/>
    </xf>
    <xf numFmtId="175" fontId="0" fillId="0" borderId="0" xfId="0" applyNumberFormat="1"/>
    <xf numFmtId="0" fontId="3" fillId="0" borderId="0" xfId="0" applyFont="1" applyAlignment="1">
      <alignment horizontal="right"/>
    </xf>
    <xf numFmtId="6" fontId="0" fillId="0" borderId="0" xfId="0" applyNumberFormat="1"/>
    <xf numFmtId="0" fontId="3" fillId="0" borderId="14" xfId="0" applyFont="1" applyBorder="1"/>
    <xf numFmtId="174" fontId="0" fillId="0" borderId="0" xfId="5" applyNumberFormat="1" applyFont="1" applyAlignment="1"/>
    <xf numFmtId="174" fontId="25" fillId="0" borderId="0" xfId="5" applyNumberFormat="1" applyFont="1" applyAlignment="1"/>
    <xf numFmtId="0" fontId="0" fillId="0" borderId="14" xfId="0" applyBorder="1" applyAlignment="1">
      <alignment horizontal="center"/>
    </xf>
    <xf numFmtId="170" fontId="3" fillId="0" borderId="0" xfId="0" applyNumberFormat="1" applyFont="1" applyAlignment="1">
      <alignment horizontal="center"/>
    </xf>
    <xf numFmtId="170" fontId="20" fillId="0" borderId="0" xfId="0" applyNumberFormat="1" applyFont="1"/>
    <xf numFmtId="0" fontId="3" fillId="0" borderId="0" xfId="0" applyFont="1" applyAlignment="1">
      <alignment horizontal="left"/>
    </xf>
    <xf numFmtId="0" fontId="12" fillId="56" borderId="0" xfId="0" applyFont="1" applyFill="1" applyAlignment="1">
      <alignment horizontal="center"/>
    </xf>
    <xf numFmtId="0" fontId="12" fillId="56" borderId="0" xfId="0" applyFont="1" applyFill="1"/>
    <xf numFmtId="0" fontId="0" fillId="56" borderId="0" xfId="0" applyFill="1" applyAlignment="1">
      <alignment horizontal="center"/>
    </xf>
    <xf numFmtId="0" fontId="0" fillId="56" borderId="0" xfId="0" applyFill="1"/>
    <xf numFmtId="9" fontId="3" fillId="0" borderId="0" xfId="0" applyNumberFormat="1" applyFont="1" applyAlignment="1">
      <alignment horizontal="center"/>
    </xf>
    <xf numFmtId="0" fontId="87" fillId="0" borderId="0" xfId="0" applyFont="1"/>
    <xf numFmtId="43" fontId="0" fillId="0" borderId="0" xfId="5" applyFont="1" applyAlignment="1">
      <alignment horizontal="center"/>
    </xf>
    <xf numFmtId="43" fontId="0" fillId="0" borderId="0" xfId="0" applyNumberFormat="1"/>
    <xf numFmtId="170" fontId="0" fillId="0" borderId="0" xfId="0" applyNumberFormat="1" applyAlignment="1">
      <alignment horizontal="center"/>
    </xf>
    <xf numFmtId="0" fontId="21" fillId="57" borderId="0" xfId="0" applyFont="1" applyFill="1"/>
    <xf numFmtId="0" fontId="0" fillId="0" borderId="0" xfId="0" quotePrefix="1"/>
    <xf numFmtId="0" fontId="88" fillId="57" borderId="0" xfId="0" applyFont="1" applyFill="1" applyAlignment="1">
      <alignment horizontal="left"/>
    </xf>
    <xf numFmtId="0" fontId="9" fillId="0" borderId="0" xfId="0" applyFont="1"/>
    <xf numFmtId="0" fontId="0" fillId="0" borderId="0" xfId="0" applyAlignment="1">
      <alignment vertical="center"/>
    </xf>
    <xf numFmtId="0" fontId="89" fillId="0" borderId="0" xfId="0" applyFont="1"/>
    <xf numFmtId="0" fontId="20" fillId="0" borderId="14" xfId="0" applyFont="1" applyBorder="1" applyAlignment="1">
      <alignment horizontal="center" vertical="center"/>
    </xf>
    <xf numFmtId="0" fontId="0" fillId="0" borderId="0" xfId="0" applyAlignment="1">
      <alignment wrapText="1"/>
    </xf>
    <xf numFmtId="0" fontId="20" fillId="0" borderId="14" xfId="0" applyFont="1" applyBorder="1" applyAlignment="1">
      <alignment horizontal="center"/>
    </xf>
    <xf numFmtId="0" fontId="20" fillId="0" borderId="0" xfId="0" applyFont="1" applyAlignment="1">
      <alignment horizontal="right"/>
    </xf>
    <xf numFmtId="0" fontId="20" fillId="0" borderId="14" xfId="0" applyFont="1" applyBorder="1" applyAlignment="1">
      <alignment horizontal="right"/>
    </xf>
    <xf numFmtId="0" fontId="12" fillId="0" borderId="24" xfId="0" applyFont="1" applyBorder="1" applyAlignment="1">
      <alignment horizontal="right" vertical="center"/>
    </xf>
    <xf numFmtId="0" fontId="12" fillId="0" borderId="0" xfId="0" applyFont="1" applyAlignment="1">
      <alignment horizontal="right" vertical="center"/>
    </xf>
    <xf numFmtId="0" fontId="0" fillId="0" borderId="14" xfId="0" applyBorder="1" applyAlignment="1">
      <alignment horizontal="right"/>
    </xf>
    <xf numFmtId="0" fontId="86" fillId="0" borderId="14" xfId="0" quotePrefix="1" applyFont="1" applyBorder="1" applyAlignment="1">
      <alignment horizontal="right"/>
    </xf>
    <xf numFmtId="0" fontId="21" fillId="3" borderId="0" xfId="0" applyFont="1" applyFill="1" applyAlignment="1">
      <alignment horizontal="center" vertical="center"/>
    </xf>
    <xf numFmtId="10" fontId="25" fillId="0" borderId="0" xfId="7" applyNumberFormat="1" applyFont="1" applyAlignment="1">
      <alignment horizontal="center"/>
    </xf>
    <xf numFmtId="9" fontId="20" fillId="0" borderId="0" xfId="0" applyNumberFormat="1" applyFont="1" applyAlignment="1">
      <alignment horizontal="right"/>
    </xf>
    <xf numFmtId="0" fontId="22" fillId="0" borderId="0" xfId="0" applyFont="1" applyAlignment="1">
      <alignment horizontal="left"/>
    </xf>
    <xf numFmtId="174" fontId="0" fillId="0" borderId="0" xfId="5" applyNumberFormat="1" applyFont="1" applyFill="1"/>
    <xf numFmtId="174" fontId="87" fillId="0" borderId="0" xfId="5" applyNumberFormat="1" applyFont="1" applyFill="1" applyAlignment="1"/>
    <xf numFmtId="174" fontId="87" fillId="0" borderId="0" xfId="5" applyNumberFormat="1" applyFont="1" applyFill="1"/>
    <xf numFmtId="174" fontId="87" fillId="0" borderId="41" xfId="5" applyNumberFormat="1" applyFont="1" applyFill="1" applyBorder="1"/>
    <xf numFmtId="0" fontId="3" fillId="0" borderId="0" xfId="0" applyFont="1" applyAlignment="1">
      <alignment horizontal="center" vertical="center"/>
    </xf>
    <xf numFmtId="174" fontId="1" fillId="0" borderId="0" xfId="5" applyNumberFormat="1" applyFont="1" applyFill="1"/>
    <xf numFmtId="9" fontId="0" fillId="0" borderId="0" xfId="7" applyFont="1" applyAlignment="1">
      <alignment horizontal="center"/>
    </xf>
    <xf numFmtId="174" fontId="0" fillId="0" borderId="0" xfId="0" applyNumberFormat="1"/>
    <xf numFmtId="0" fontId="12" fillId="0" borderId="0" xfId="17" applyFont="1"/>
    <xf numFmtId="0" fontId="21" fillId="0" borderId="0" xfId="0" applyFont="1" applyAlignment="1">
      <alignment horizontal="center"/>
    </xf>
    <xf numFmtId="0" fontId="0" fillId="0" borderId="1" xfId="0" applyBorder="1"/>
    <xf numFmtId="0" fontId="0" fillId="60" borderId="0" xfId="0" applyFill="1"/>
    <xf numFmtId="0" fontId="0" fillId="60" borderId="0" xfId="0" quotePrefix="1" applyFill="1"/>
    <xf numFmtId="0" fontId="94" fillId="60" borderId="0" xfId="0" applyFont="1" applyFill="1" applyAlignment="1">
      <alignment vertical="top" wrapText="1"/>
    </xf>
    <xf numFmtId="0" fontId="20" fillId="0" borderId="14" xfId="0" applyFont="1" applyBorder="1" applyAlignment="1">
      <alignment horizontal="left"/>
    </xf>
    <xf numFmtId="2" fontId="0" fillId="0" borderId="0" xfId="5" applyNumberFormat="1" applyFont="1"/>
    <xf numFmtId="1" fontId="0" fillId="0" borderId="0" xfId="5" applyNumberFormat="1" applyFont="1"/>
    <xf numFmtId="0" fontId="96" fillId="61" borderId="21" xfId="0" applyFont="1" applyFill="1" applyBorder="1" applyAlignment="1">
      <alignment vertical="center" wrapText="1"/>
    </xf>
    <xf numFmtId="0" fontId="96" fillId="61" borderId="8" xfId="0" applyFont="1" applyFill="1" applyBorder="1" applyAlignment="1">
      <alignment vertical="center" wrapText="1"/>
    </xf>
    <xf numFmtId="0" fontId="99" fillId="61" borderId="14" xfId="0" applyFont="1" applyFill="1" applyBorder="1" applyAlignment="1">
      <alignment horizontal="center" vertical="center" wrapText="1"/>
    </xf>
    <xf numFmtId="0" fontId="76" fillId="0" borderId="14" xfId="0" applyFont="1" applyBorder="1" applyAlignment="1">
      <alignment vertical="center" wrapText="1"/>
    </xf>
    <xf numFmtId="0" fontId="100" fillId="61" borderId="42" xfId="0" applyFont="1" applyFill="1" applyBorder="1" applyAlignment="1">
      <alignment horizontal="center" vertical="center"/>
    </xf>
    <xf numFmtId="0" fontId="76" fillId="0" borderId="14" xfId="0" applyFont="1" applyBorder="1" applyAlignment="1">
      <alignment vertical="center"/>
    </xf>
    <xf numFmtId="0" fontId="3" fillId="0" borderId="0" xfId="0" applyFont="1" applyAlignment="1">
      <alignment vertical="center"/>
    </xf>
    <xf numFmtId="0" fontId="103" fillId="60" borderId="14" xfId="0" applyFont="1" applyFill="1" applyBorder="1" applyAlignment="1">
      <alignment horizontal="center" vertical="center" wrapText="1"/>
    </xf>
    <xf numFmtId="0" fontId="104" fillId="0" borderId="14" xfId="0" applyFont="1" applyBorder="1" applyAlignment="1">
      <alignment horizontal="left" vertical="center" wrapText="1"/>
    </xf>
    <xf numFmtId="0" fontId="76" fillId="0" borderId="14" xfId="0" applyFont="1" applyBorder="1" applyAlignment="1">
      <alignment horizontal="left" vertical="center" wrapText="1"/>
    </xf>
    <xf numFmtId="0" fontId="2" fillId="0" borderId="0" xfId="0" applyFont="1"/>
    <xf numFmtId="0" fontId="5" fillId="0" borderId="0" xfId="0" applyFont="1"/>
    <xf numFmtId="0" fontId="5" fillId="0" borderId="0" xfId="0" applyFont="1" applyAlignment="1">
      <alignment vertical="center"/>
    </xf>
    <xf numFmtId="0" fontId="2" fillId="0" borderId="0" xfId="0" quotePrefix="1" applyFont="1"/>
    <xf numFmtId="0" fontId="0" fillId="0" borderId="1" xfId="0" applyBorder="1" applyAlignment="1">
      <alignment vertical="center"/>
    </xf>
    <xf numFmtId="0" fontId="0" fillId="0" borderId="2" xfId="0" applyBorder="1"/>
    <xf numFmtId="0" fontId="0" fillId="0" borderId="2" xfId="0" applyBorder="1" applyAlignment="1">
      <alignment vertical="center"/>
    </xf>
    <xf numFmtId="0" fontId="6" fillId="0" borderId="0" xfId="0" applyFont="1"/>
    <xf numFmtId="0" fontId="7" fillId="0" borderId="0" xfId="0" applyFont="1"/>
    <xf numFmtId="0" fontId="0" fillId="0" borderId="4" xfId="0" applyBorder="1" applyAlignment="1">
      <alignment horizontal="center"/>
    </xf>
    <xf numFmtId="164" fontId="0" fillId="0" borderId="5" xfId="0" applyNumberFormat="1" applyBorder="1" applyAlignment="1">
      <alignment horizontal="center" vertical="center"/>
    </xf>
    <xf numFmtId="0" fontId="9" fillId="0" borderId="0" xfId="0" applyFont="1" applyAlignment="1">
      <alignment vertical="center"/>
    </xf>
    <xf numFmtId="0" fontId="0" fillId="0" borderId="6" xfId="0" applyBorder="1" applyAlignment="1">
      <alignment horizontal="center"/>
    </xf>
    <xf numFmtId="164" fontId="0" fillId="0" borderId="7" xfId="0" applyNumberFormat="1" applyBorder="1" applyAlignment="1">
      <alignment horizontal="center" vertical="center"/>
    </xf>
    <xf numFmtId="165" fontId="0" fillId="0" borderId="0" xfId="0" applyNumberFormat="1"/>
    <xf numFmtId="164" fontId="0" fillId="0" borderId="5" xfId="0" applyNumberFormat="1" applyBorder="1" applyAlignment="1">
      <alignment horizontal="center"/>
    </xf>
    <xf numFmtId="0" fontId="9" fillId="0" borderId="0" xfId="0" applyFont="1" applyAlignment="1">
      <alignment horizontal="left"/>
    </xf>
    <xf numFmtId="0" fontId="11" fillId="0" borderId="4" xfId="0" applyFont="1" applyBorder="1" applyAlignment="1">
      <alignment horizontal="center" vertical="center"/>
    </xf>
    <xf numFmtId="0" fontId="11" fillId="0" borderId="9" xfId="0" applyFont="1" applyBorder="1" applyAlignment="1">
      <alignment horizontal="center" vertical="center"/>
    </xf>
    <xf numFmtId="0" fontId="11" fillId="0" borderId="6" xfId="0" applyFont="1" applyBorder="1" applyAlignment="1">
      <alignment horizontal="center" vertical="center"/>
    </xf>
    <xf numFmtId="0" fontId="11" fillId="0" borderId="3" xfId="0" applyFont="1" applyBorder="1" applyAlignment="1">
      <alignment horizontal="center" vertical="center"/>
    </xf>
    <xf numFmtId="0" fontId="3" fillId="2" borderId="4" xfId="0" applyFont="1" applyFill="1" applyBorder="1" applyAlignment="1">
      <alignment horizontal="center" vertical="center"/>
    </xf>
    <xf numFmtId="0" fontId="3" fillId="2" borderId="9" xfId="0" applyFont="1" applyFill="1"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center" vertical="center" wrapText="1"/>
    </xf>
    <xf numFmtId="0" fontId="3" fillId="0" borderId="10" xfId="0" applyFont="1" applyBorder="1" applyAlignment="1">
      <alignment horizontal="center" vertical="center"/>
    </xf>
    <xf numFmtId="0" fontId="0" fillId="0" borderId="11" xfId="0" applyBorder="1" applyAlignment="1">
      <alignment horizontal="center" vertical="center"/>
    </xf>
    <xf numFmtId="0" fontId="11" fillId="0" borderId="4" xfId="0" applyFont="1" applyBorder="1" applyAlignment="1">
      <alignment horizontal="center" vertical="center" wrapText="1"/>
    </xf>
    <xf numFmtId="165" fontId="11" fillId="0" borderId="9" xfId="0" applyNumberFormat="1" applyFont="1" applyBorder="1" applyAlignment="1">
      <alignment horizontal="center" vertical="center"/>
    </xf>
    <xf numFmtId="0" fontId="11" fillId="0" borderId="0" xfId="0" applyFont="1" applyAlignment="1">
      <alignment vertical="center"/>
    </xf>
    <xf numFmtId="0" fontId="11" fillId="0" borderId="6" xfId="0" applyFont="1" applyBorder="1" applyAlignment="1">
      <alignment horizontal="center" vertical="center" wrapText="1"/>
    </xf>
    <xf numFmtId="165" fontId="11" fillId="0" borderId="3" xfId="0" applyNumberFormat="1" applyFont="1" applyBorder="1" applyAlignment="1">
      <alignment horizontal="center" vertical="center"/>
    </xf>
    <xf numFmtId="0" fontId="11" fillId="0" borderId="0" xfId="0" applyFont="1"/>
    <xf numFmtId="0" fontId="0" fillId="0" borderId="4" xfId="0" applyBorder="1" applyAlignment="1">
      <alignment horizontal="center" vertical="center" wrapText="1"/>
    </xf>
    <xf numFmtId="4" fontId="0" fillId="0" borderId="9" xfId="0" applyNumberFormat="1" applyBorder="1" applyAlignment="1">
      <alignment horizontal="center" vertical="center"/>
    </xf>
    <xf numFmtId="0" fontId="0" fillId="0" borderId="6" xfId="0" applyBorder="1" applyAlignment="1">
      <alignment horizontal="center" vertical="center" wrapText="1"/>
    </xf>
    <xf numFmtId="165" fontId="0" fillId="0" borderId="3" xfId="0" applyNumberFormat="1" applyBorder="1" applyAlignment="1">
      <alignment horizontal="center" vertical="center"/>
    </xf>
    <xf numFmtId="0" fontId="4" fillId="0" borderId="0" xfId="290" applyAlignment="1" applyProtection="1">
      <alignment vertical="center"/>
    </xf>
    <xf numFmtId="0" fontId="9" fillId="0" borderId="0" xfId="0" applyFont="1" applyAlignment="1">
      <alignment vertical="top" wrapText="1"/>
    </xf>
    <xf numFmtId="0" fontId="3" fillId="2" borderId="4" xfId="0" applyFont="1" applyFill="1" applyBorder="1" applyAlignment="1">
      <alignment horizontal="center" vertical="center" wrapText="1"/>
    </xf>
    <xf numFmtId="0" fontId="3" fillId="2" borderId="9" xfId="0" applyFont="1" applyFill="1" applyBorder="1" applyAlignment="1">
      <alignment horizontal="center" vertical="center" wrapText="1"/>
    </xf>
    <xf numFmtId="164" fontId="0" fillId="0" borderId="9" xfId="0" applyNumberFormat="1" applyBorder="1" applyAlignment="1">
      <alignment horizontal="center" vertical="center"/>
    </xf>
    <xf numFmtId="164" fontId="3" fillId="2" borderId="9" xfId="0" applyNumberFormat="1" applyFont="1" applyFill="1" applyBorder="1" applyAlignment="1">
      <alignment horizontal="center" vertical="center" wrapText="1"/>
    </xf>
    <xf numFmtId="164" fontId="0" fillId="0" borderId="3" xfId="0" applyNumberFormat="1" applyBorder="1" applyAlignment="1">
      <alignment horizontal="center" vertical="center"/>
    </xf>
    <xf numFmtId="164" fontId="0" fillId="0" borderId="0" xfId="0" applyNumberFormat="1" applyAlignment="1">
      <alignment horizontal="right"/>
    </xf>
    <xf numFmtId="0" fontId="11" fillId="0" borderId="0" xfId="0" applyFont="1" applyAlignment="1">
      <alignment horizontal="center"/>
    </xf>
    <xf numFmtId="0" fontId="11" fillId="0" borderId="0" xfId="0" applyFont="1" applyAlignment="1">
      <alignment horizontal="center" vertical="center"/>
    </xf>
    <xf numFmtId="0" fontId="14" fillId="0" borderId="3" xfId="0" applyFont="1" applyBorder="1" applyAlignment="1">
      <alignment horizontal="center" vertical="center" wrapText="1"/>
    </xf>
    <xf numFmtId="0" fontId="9" fillId="0" borderId="0" xfId="0" applyFont="1" applyAlignment="1">
      <alignment wrapText="1"/>
    </xf>
    <xf numFmtId="0" fontId="11" fillId="0" borderId="0" xfId="0" applyFont="1" applyAlignment="1">
      <alignment horizontal="left"/>
    </xf>
    <xf numFmtId="0" fontId="4" fillId="0" borderId="0" xfId="290" applyNumberFormat="1" applyAlignment="1" applyProtection="1"/>
    <xf numFmtId="2" fontId="0" fillId="0" borderId="0" xfId="0" applyNumberFormat="1"/>
    <xf numFmtId="0" fontId="0" fillId="0" borderId="0" xfId="0" applyAlignment="1">
      <alignment horizontal="left" vertical="center"/>
    </xf>
    <xf numFmtId="0" fontId="0" fillId="0" borderId="0" xfId="0" applyAlignment="1">
      <alignment horizontal="left" vertical="center" indent="1"/>
    </xf>
    <xf numFmtId="0" fontId="68" fillId="0" borderId="0" xfId="131" applyBorder="1" applyAlignment="1" applyProtection="1"/>
    <xf numFmtId="0" fontId="3" fillId="0" borderId="13" xfId="0" applyFont="1" applyBorder="1" applyAlignment="1">
      <alignment horizontal="center" wrapText="1"/>
    </xf>
    <xf numFmtId="165" fontId="0" fillId="0" borderId="13" xfId="0" applyNumberFormat="1" applyBorder="1" applyAlignment="1">
      <alignment horizontal="center"/>
    </xf>
    <xf numFmtId="165" fontId="0" fillId="0" borderId="0" xfId="0" applyNumberFormat="1" applyAlignment="1">
      <alignment horizontal="center"/>
    </xf>
    <xf numFmtId="0" fontId="11" fillId="0" borderId="9" xfId="0" applyFont="1" applyBorder="1" applyAlignment="1">
      <alignment horizontal="center" vertical="center" wrapText="1"/>
    </xf>
    <xf numFmtId="187" fontId="0" fillId="0" borderId="0" xfId="6" applyNumberFormat="1" applyFont="1"/>
    <xf numFmtId="187" fontId="3" fillId="0" borderId="0" xfId="6" applyNumberFormat="1" applyFont="1"/>
    <xf numFmtId="0" fontId="108" fillId="62" borderId="0" xfId="0" applyFont="1" applyFill="1"/>
    <xf numFmtId="0" fontId="0" fillId="63" borderId="0" xfId="0" applyFill="1"/>
    <xf numFmtId="0" fontId="108" fillId="64" borderId="0" xfId="0" applyFont="1" applyFill="1"/>
    <xf numFmtId="0" fontId="108" fillId="65" borderId="0" xfId="0" applyFont="1" applyFill="1"/>
    <xf numFmtId="0" fontId="0" fillId="66" borderId="0" xfId="0" applyFill="1"/>
    <xf numFmtId="0" fontId="108" fillId="67" borderId="0" xfId="0" applyFont="1" applyFill="1"/>
    <xf numFmtId="0" fontId="87" fillId="0" borderId="0" xfId="5" applyNumberFormat="1" applyFont="1" applyFill="1" applyAlignment="1"/>
    <xf numFmtId="174" fontId="87" fillId="0" borderId="0" xfId="5" applyNumberFormat="1" applyFont="1"/>
    <xf numFmtId="0" fontId="87" fillId="0" borderId="24" xfId="0" applyFont="1" applyBorder="1" applyAlignment="1">
      <alignment horizontal="center" vertical="center"/>
    </xf>
    <xf numFmtId="174" fontId="12" fillId="0" borderId="0" xfId="5" applyNumberFormat="1" applyFont="1"/>
    <xf numFmtId="174" fontId="0" fillId="0" borderId="0" xfId="5" applyNumberFormat="1" applyFont="1" applyAlignment="1">
      <alignment horizontal="center"/>
    </xf>
    <xf numFmtId="0" fontId="23" fillId="0" borderId="14" xfId="0" quotePrefix="1" applyFont="1" applyBorder="1" applyAlignment="1">
      <alignment horizontal="right" wrapText="1"/>
    </xf>
    <xf numFmtId="0" fontId="20" fillId="0" borderId="0" xfId="0" applyFont="1" applyAlignment="1">
      <alignment wrapText="1"/>
    </xf>
    <xf numFmtId="0" fontId="109" fillId="0" borderId="14" xfId="0" applyFont="1" applyBorder="1" applyAlignment="1">
      <alignment horizontal="center" vertical="center" wrapText="1"/>
    </xf>
    <xf numFmtId="185" fontId="109" fillId="0" borderId="14" xfId="0" applyNumberFormat="1" applyFont="1" applyBorder="1" applyAlignment="1">
      <alignment horizontal="center" vertical="center" wrapText="1"/>
    </xf>
    <xf numFmtId="0" fontId="3" fillId="0" borderId="0" xfId="0" applyFont="1" applyAlignment="1">
      <alignment horizontal="center" vertical="center" wrapText="1"/>
    </xf>
    <xf numFmtId="6" fontId="0" fillId="0" borderId="0" xfId="0" applyNumberFormat="1" applyAlignment="1">
      <alignment horizontal="center"/>
    </xf>
    <xf numFmtId="6" fontId="11" fillId="0" borderId="0" xfId="0" applyNumberFormat="1" applyFont="1" applyAlignment="1">
      <alignment horizontal="center"/>
    </xf>
    <xf numFmtId="0" fontId="3" fillId="0" borderId="0" xfId="0" applyFont="1" applyAlignment="1">
      <alignment vertical="center" wrapText="1"/>
    </xf>
    <xf numFmtId="164" fontId="0" fillId="0" borderId="0" xfId="0" applyNumberFormat="1" applyAlignment="1">
      <alignment horizontal="center" vertical="center"/>
    </xf>
    <xf numFmtId="164" fontId="3" fillId="0" borderId="0" xfId="0" applyNumberFormat="1" applyFont="1" applyAlignment="1">
      <alignment horizontal="center" vertical="center" wrapText="1"/>
    </xf>
    <xf numFmtId="164" fontId="0" fillId="0" borderId="14" xfId="0" applyNumberFormat="1" applyBorder="1" applyAlignment="1">
      <alignment horizontal="right"/>
    </xf>
    <xf numFmtId="175" fontId="0" fillId="0" borderId="0" xfId="0" applyNumberFormat="1" applyAlignment="1">
      <alignment horizontal="center"/>
    </xf>
    <xf numFmtId="175" fontId="3" fillId="0" borderId="0" xfId="0" applyNumberFormat="1" applyFont="1" applyAlignment="1">
      <alignment horizontal="center"/>
    </xf>
    <xf numFmtId="175" fontId="3" fillId="0" borderId="0" xfId="0" applyNumberFormat="1" applyFont="1"/>
    <xf numFmtId="9" fontId="3" fillId="0" borderId="0" xfId="7" applyFont="1" applyAlignment="1">
      <alignment horizontal="center"/>
    </xf>
    <xf numFmtId="4" fontId="20" fillId="0" borderId="14" xfId="0" applyNumberFormat="1" applyFont="1" applyBorder="1" applyAlignment="1">
      <alignment horizontal="right"/>
    </xf>
    <xf numFmtId="8" fontId="20" fillId="0" borderId="14" xfId="0" applyNumberFormat="1" applyFont="1" applyBorder="1" applyAlignment="1">
      <alignment horizontal="right"/>
    </xf>
    <xf numFmtId="175" fontId="20" fillId="0" borderId="14" xfId="6" applyNumberFormat="1" applyFont="1" applyFill="1" applyBorder="1" applyAlignment="1">
      <alignment horizontal="right"/>
    </xf>
    <xf numFmtId="175" fontId="3" fillId="0" borderId="0" xfId="6" applyNumberFormat="1" applyFont="1"/>
    <xf numFmtId="6" fontId="3" fillId="0" borderId="0" xfId="0" applyNumberFormat="1" applyFont="1"/>
    <xf numFmtId="41" fontId="0" fillId="0" borderId="27" xfId="0" applyNumberFormat="1" applyBorder="1"/>
    <xf numFmtId="0" fontId="3" fillId="0" borderId="41" xfId="0" applyFont="1" applyBorder="1" applyAlignment="1">
      <alignment horizontal="right"/>
    </xf>
    <xf numFmtId="0" fontId="21" fillId="0" borderId="0" xfId="0" applyFont="1" applyAlignment="1">
      <alignment horizontal="center" wrapText="1"/>
    </xf>
    <xf numFmtId="43" fontId="12" fillId="0" borderId="0" xfId="0" applyNumberFormat="1" applyFont="1"/>
    <xf numFmtId="0" fontId="40" fillId="0" borderId="0" xfId="0" applyFont="1" applyAlignment="1">
      <alignment horizontal="left" vertical="center"/>
    </xf>
    <xf numFmtId="174" fontId="1" fillId="0" borderId="0" xfId="5" applyNumberFormat="1" applyFont="1"/>
    <xf numFmtId="0" fontId="4" fillId="0" borderId="0" xfId="290" applyAlignment="1" applyProtection="1"/>
    <xf numFmtId="0" fontId="68" fillId="0" borderId="1" xfId="132" applyBorder="1" applyAlignment="1" applyProtection="1"/>
    <xf numFmtId="166" fontId="1" fillId="0" borderId="47" xfId="7" applyNumberFormat="1" applyFont="1" applyBorder="1" applyAlignment="1">
      <alignment horizontal="center" vertical="center"/>
    </xf>
    <xf numFmtId="9" fontId="0" fillId="0" borderId="0" xfId="7" applyFont="1" applyBorder="1" applyAlignment="1">
      <alignment horizontal="center" wrapText="1"/>
    </xf>
    <xf numFmtId="166" fontId="0" fillId="0" borderId="0" xfId="7" applyNumberFormat="1" applyFont="1" applyBorder="1" applyAlignment="1">
      <alignment horizontal="center" vertical="center"/>
    </xf>
    <xf numFmtId="9" fontId="0" fillId="0" borderId="0" xfId="7" applyFont="1" applyBorder="1" applyAlignment="1">
      <alignment wrapText="1"/>
    </xf>
    <xf numFmtId="0" fontId="68" fillId="0" borderId="1" xfId="131" applyBorder="1" applyAlignment="1" applyProtection="1"/>
    <xf numFmtId="0" fontId="3" fillId="2" borderId="48" xfId="0" applyFont="1" applyFill="1" applyBorder="1" applyAlignment="1">
      <alignment horizontal="center" vertical="center" wrapText="1"/>
    </xf>
    <xf numFmtId="0" fontId="3" fillId="2" borderId="47" xfId="0" applyFont="1" applyFill="1" applyBorder="1" applyAlignment="1">
      <alignment horizontal="center" vertical="center" wrapText="1"/>
    </xf>
    <xf numFmtId="0" fontId="68" fillId="0" borderId="0" xfId="132" applyAlignment="1" applyProtection="1"/>
    <xf numFmtId="0" fontId="3" fillId="2" borderId="48" xfId="0" applyFont="1" applyFill="1" applyBorder="1" applyAlignment="1">
      <alignment horizontal="center" vertical="center"/>
    </xf>
    <xf numFmtId="0" fontId="3" fillId="2" borderId="47" xfId="0" applyFont="1" applyFill="1" applyBorder="1" applyAlignment="1">
      <alignment horizontal="center" vertical="center"/>
    </xf>
    <xf numFmtId="0" fontId="68" fillId="0" borderId="0" xfId="132" applyAlignment="1" applyProtection="1">
      <alignment vertical="center"/>
    </xf>
    <xf numFmtId="165" fontId="0" fillId="0" borderId="50" xfId="0" applyNumberFormat="1" applyBorder="1" applyAlignment="1">
      <alignment horizontal="center" vertical="center"/>
    </xf>
    <xf numFmtId="0" fontId="0" fillId="0" borderId="50" xfId="0" applyBorder="1" applyAlignment="1">
      <alignment horizontal="center" vertical="center"/>
    </xf>
    <xf numFmtId="165" fontId="0" fillId="0" borderId="51" xfId="0" applyNumberFormat="1" applyBorder="1" applyAlignment="1">
      <alignment horizontal="center" vertical="center"/>
    </xf>
    <xf numFmtId="0" fontId="11" fillId="0" borderId="0" xfId="0" applyFont="1" applyAlignment="1">
      <alignment horizontal="right" vertical="center"/>
    </xf>
    <xf numFmtId="166" fontId="11" fillId="0" borderId="9" xfId="7" applyNumberFormat="1" applyFont="1" applyBorder="1" applyAlignment="1">
      <alignment horizontal="center" vertical="center"/>
    </xf>
    <xf numFmtId="165" fontId="0" fillId="0" borderId="9" xfId="0" applyNumberFormat="1" applyBorder="1" applyAlignment="1">
      <alignment horizontal="center" vertical="center"/>
    </xf>
    <xf numFmtId="0" fontId="3" fillId="2" borderId="14" xfId="0" applyFont="1" applyFill="1" applyBorder="1" applyAlignment="1">
      <alignment horizontal="center" vertical="center" wrapText="1"/>
    </xf>
    <xf numFmtId="0" fontId="0" fillId="0" borderId="4" xfId="0" applyBorder="1" applyAlignment="1">
      <alignment horizontal="center" vertical="center"/>
    </xf>
    <xf numFmtId="164" fontId="0" fillId="0" borderId="14" xfId="0" applyNumberFormat="1" applyBorder="1" applyAlignment="1">
      <alignment horizontal="center" vertical="center"/>
    </xf>
    <xf numFmtId="164" fontId="3" fillId="2" borderId="14" xfId="0" applyNumberFormat="1" applyFont="1" applyFill="1" applyBorder="1" applyAlignment="1">
      <alignment horizontal="center" vertical="center" wrapText="1"/>
    </xf>
    <xf numFmtId="0" fontId="0" fillId="0" borderId="6" xfId="0" applyBorder="1" applyAlignment="1">
      <alignment horizontal="center" vertical="center"/>
    </xf>
    <xf numFmtId="165" fontId="0" fillId="0" borderId="16" xfId="0" applyNumberFormat="1" applyBorder="1" applyAlignment="1">
      <alignment horizontal="center" vertical="center"/>
    </xf>
    <xf numFmtId="0" fontId="3" fillId="2" borderId="52" xfId="0" applyFont="1" applyFill="1" applyBorder="1" applyAlignment="1">
      <alignment horizontal="center" vertical="center" wrapText="1"/>
    </xf>
    <xf numFmtId="0" fontId="9" fillId="0" borderId="0" xfId="291" applyFont="1" applyAlignment="1">
      <alignment vertical="center"/>
    </xf>
    <xf numFmtId="6" fontId="12" fillId="0" borderId="14" xfId="291" applyNumberFormat="1" applyFont="1" applyBorder="1" applyAlignment="1">
      <alignment horizontal="center"/>
    </xf>
    <xf numFmtId="6" fontId="12" fillId="0" borderId="9" xfId="291" applyNumberFormat="1" applyFont="1" applyBorder="1" applyAlignment="1">
      <alignment horizontal="center"/>
    </xf>
    <xf numFmtId="6" fontId="12" fillId="0" borderId="0" xfId="291" applyNumberFormat="1" applyFont="1" applyAlignment="1">
      <alignment horizontal="center"/>
    </xf>
    <xf numFmtId="188" fontId="0" fillId="0" borderId="0" xfId="0" applyNumberFormat="1" applyAlignment="1">
      <alignment horizontal="center"/>
    </xf>
    <xf numFmtId="0" fontId="4" fillId="0" borderId="0" xfId="297" applyFont="1" applyAlignment="1" applyProtection="1">
      <alignment vertical="center"/>
    </xf>
    <xf numFmtId="0" fontId="0" fillId="0" borderId="0" xfId="291" applyFont="1"/>
    <xf numFmtId="0" fontId="18" fillId="0" borderId="0" xfId="291" applyFont="1"/>
    <xf numFmtId="0" fontId="4" fillId="0" borderId="0" xfId="297" applyFont="1" applyAlignment="1" applyProtection="1"/>
    <xf numFmtId="0" fontId="12" fillId="0" borderId="0" xfId="291" applyFont="1" applyAlignment="1">
      <alignment vertical="center"/>
    </xf>
    <xf numFmtId="0" fontId="12" fillId="0" borderId="0" xfId="291" applyFont="1"/>
    <xf numFmtId="0" fontId="12" fillId="0" borderId="0" xfId="291" applyFont="1" applyAlignment="1">
      <alignment wrapText="1"/>
    </xf>
    <xf numFmtId="0" fontId="3" fillId="2" borderId="48" xfId="291" applyFont="1" applyFill="1" applyBorder="1" applyAlignment="1">
      <alignment horizontal="center" vertical="center" wrapText="1"/>
    </xf>
    <xf numFmtId="0" fontId="3" fillId="2" borderId="47" xfId="291" applyFont="1" applyFill="1" applyBorder="1" applyAlignment="1">
      <alignment horizontal="center" vertical="center" wrapText="1"/>
    </xf>
    <xf numFmtId="0" fontId="12" fillId="0" borderId="4" xfId="291" applyFont="1" applyBorder="1" applyAlignment="1">
      <alignment horizontal="center"/>
    </xf>
    <xf numFmtId="2" fontId="12" fillId="0" borderId="9" xfId="291" applyNumberFormat="1" applyFont="1" applyBorder="1" applyAlignment="1">
      <alignment horizontal="center"/>
    </xf>
    <xf numFmtId="0" fontId="68" fillId="0" borderId="0" xfId="131" applyAlignment="1" applyProtection="1">
      <alignment wrapText="1"/>
    </xf>
    <xf numFmtId="0" fontId="68" fillId="0" borderId="0" xfId="297" applyFill="1" applyBorder="1" applyAlignment="1" applyProtection="1">
      <alignment vertical="center"/>
    </xf>
    <xf numFmtId="0" fontId="112" fillId="0" borderId="0" xfId="0" applyFont="1" applyAlignment="1">
      <alignment horizontal="right" vertical="center"/>
    </xf>
    <xf numFmtId="2" fontId="12" fillId="0" borderId="3" xfId="291" applyNumberFormat="1" applyFont="1" applyBorder="1" applyAlignment="1">
      <alignment horizontal="center"/>
    </xf>
    <xf numFmtId="0" fontId="68" fillId="0" borderId="0" xfId="132" applyAlignment="1" applyProtection="1">
      <alignment vertical="top"/>
    </xf>
    <xf numFmtId="0" fontId="3" fillId="0" borderId="4" xfId="291" applyFont="1" applyBorder="1" applyAlignment="1">
      <alignment horizontal="center" vertical="center" wrapText="1"/>
    </xf>
    <xf numFmtId="0" fontId="3" fillId="0" borderId="9" xfId="291" applyFont="1" applyBorder="1" applyAlignment="1">
      <alignment horizontal="center" vertical="center" wrapText="1"/>
    </xf>
    <xf numFmtId="0" fontId="12" fillId="0" borderId="6" xfId="291" applyFont="1" applyBorder="1" applyAlignment="1">
      <alignment horizontal="center" vertical="center" wrapText="1"/>
    </xf>
    <xf numFmtId="165" fontId="12" fillId="0" borderId="3" xfId="291" applyNumberFormat="1" applyFont="1" applyBorder="1" applyAlignment="1">
      <alignment horizontal="center" vertical="center"/>
    </xf>
    <xf numFmtId="0" fontId="68" fillId="0" borderId="0" xfId="131" applyAlignment="1" applyProtection="1"/>
    <xf numFmtId="0" fontId="39" fillId="0" borderId="0" xfId="169"/>
    <xf numFmtId="0" fontId="12" fillId="0" borderId="4" xfId="291" applyFont="1" applyBorder="1" applyAlignment="1">
      <alignment horizontal="center" vertical="center" wrapText="1"/>
    </xf>
    <xf numFmtId="165" fontId="12" fillId="0" borderId="9" xfId="291" applyNumberFormat="1" applyFont="1" applyBorder="1" applyAlignment="1">
      <alignment horizontal="center" vertical="center"/>
    </xf>
    <xf numFmtId="0" fontId="3" fillId="2" borderId="54" xfId="291" applyFont="1" applyFill="1" applyBorder="1" applyAlignment="1">
      <alignment horizontal="center" vertical="center" wrapText="1"/>
    </xf>
    <xf numFmtId="0" fontId="3" fillId="2" borderId="55" xfId="291" applyFont="1" applyFill="1" applyBorder="1" applyAlignment="1">
      <alignment horizontal="center" vertical="center" wrapText="1"/>
    </xf>
    <xf numFmtId="165" fontId="12" fillId="0" borderId="14" xfId="291" applyNumberFormat="1" applyFont="1" applyBorder="1" applyAlignment="1">
      <alignment horizontal="center" vertical="center"/>
    </xf>
    <xf numFmtId="165" fontId="12" fillId="0" borderId="16" xfId="291" applyNumberFormat="1" applyFont="1" applyBorder="1" applyAlignment="1">
      <alignment horizontal="center" vertical="center"/>
    </xf>
    <xf numFmtId="165" fontId="12" fillId="0" borderId="56" xfId="291" applyNumberFormat="1" applyFont="1" applyBorder="1" applyAlignment="1">
      <alignment horizontal="center" vertical="center"/>
    </xf>
    <xf numFmtId="0" fontId="6" fillId="0" borderId="0" xfId="291" applyFont="1"/>
    <xf numFmtId="0" fontId="39" fillId="0" borderId="0" xfId="291"/>
    <xf numFmtId="0" fontId="39" fillId="0" borderId="0" xfId="291" applyAlignment="1">
      <alignment vertical="center"/>
    </xf>
    <xf numFmtId="0" fontId="7" fillId="0" borderId="0" xfId="291" applyFont="1"/>
    <xf numFmtId="0" fontId="68" fillId="0" borderId="0" xfId="297" applyBorder="1" applyAlignment="1" applyProtection="1"/>
    <xf numFmtId="0" fontId="19" fillId="0" borderId="0" xfId="291" applyFont="1"/>
    <xf numFmtId="0" fontId="3" fillId="2" borderId="52" xfId="291" applyFont="1" applyFill="1" applyBorder="1" applyAlignment="1">
      <alignment horizontal="center" vertical="center" wrapText="1"/>
    </xf>
    <xf numFmtId="0" fontId="9" fillId="0" borderId="0" xfId="291" applyFont="1"/>
    <xf numFmtId="0" fontId="3" fillId="2" borderId="14" xfId="291" applyFont="1" applyFill="1" applyBorder="1" applyAlignment="1">
      <alignment horizontal="center" vertical="center" wrapText="1"/>
    </xf>
    <xf numFmtId="0" fontId="3" fillId="2" borderId="9" xfId="291" applyFont="1" applyFill="1" applyBorder="1" applyAlignment="1">
      <alignment horizontal="center" vertical="center" wrapText="1"/>
    </xf>
    <xf numFmtId="0" fontId="1" fillId="0" borderId="10" xfId="291" applyFont="1" applyBorder="1" applyAlignment="1">
      <alignment horizontal="center" vertical="center" wrapText="1"/>
    </xf>
    <xf numFmtId="165" fontId="12" fillId="0" borderId="57" xfId="291" applyNumberFormat="1" applyFont="1" applyBorder="1" applyAlignment="1">
      <alignment horizontal="center" vertical="center"/>
    </xf>
    <xf numFmtId="165" fontId="12" fillId="0" borderId="50" xfId="291" applyNumberFormat="1" applyFont="1" applyBorder="1" applyAlignment="1">
      <alignment horizontal="center" vertical="center"/>
    </xf>
    <xf numFmtId="0" fontId="1" fillId="0" borderId="6" xfId="291" applyFont="1" applyBorder="1" applyAlignment="1">
      <alignment horizontal="center" vertical="center" wrapText="1"/>
    </xf>
    <xf numFmtId="0" fontId="39" fillId="0" borderId="0" xfId="291" applyAlignment="1">
      <alignment horizontal="left" wrapText="1"/>
    </xf>
    <xf numFmtId="165" fontId="39" fillId="0" borderId="0" xfId="291" applyNumberFormat="1" applyAlignment="1">
      <alignment horizontal="center" vertical="center"/>
    </xf>
    <xf numFmtId="0" fontId="39" fillId="0" borderId="0" xfId="291" applyAlignment="1">
      <alignment vertical="top" wrapText="1"/>
    </xf>
    <xf numFmtId="0" fontId="39" fillId="0" borderId="0" xfId="169" applyAlignment="1">
      <alignment vertical="center"/>
    </xf>
    <xf numFmtId="168" fontId="12" fillId="0" borderId="14" xfId="291" applyNumberFormat="1" applyFont="1" applyBorder="1" applyAlignment="1">
      <alignment horizontal="center" vertical="center"/>
    </xf>
    <xf numFmtId="168" fontId="12" fillId="0" borderId="16" xfId="291" applyNumberFormat="1" applyFont="1" applyBorder="1" applyAlignment="1">
      <alignment horizontal="center" vertical="center"/>
    </xf>
    <xf numFmtId="0" fontId="12" fillId="0" borderId="0" xfId="291" applyFont="1" applyAlignment="1">
      <alignment horizontal="left" wrapText="1"/>
    </xf>
    <xf numFmtId="168" fontId="12" fillId="0" borderId="0" xfId="291" applyNumberFormat="1" applyFont="1" applyAlignment="1">
      <alignment horizontal="center" vertical="center"/>
    </xf>
    <xf numFmtId="165" fontId="12" fillId="0" borderId="0" xfId="291" applyNumberFormat="1" applyFont="1" applyAlignment="1">
      <alignment horizontal="center" vertical="center"/>
    </xf>
    <xf numFmtId="169" fontId="11" fillId="0" borderId="9" xfId="7" applyNumberFormat="1" applyFont="1" applyBorder="1" applyAlignment="1">
      <alignment horizontal="center" vertical="center" wrapText="1"/>
    </xf>
    <xf numFmtId="166" fontId="11" fillId="0" borderId="9" xfId="7" applyNumberFormat="1" applyFont="1" applyBorder="1" applyAlignment="1">
      <alignment horizontal="center" vertical="center" wrapText="1"/>
    </xf>
    <xf numFmtId="9" fontId="11" fillId="0" borderId="9" xfId="7" applyFont="1" applyBorder="1" applyAlignment="1">
      <alignment horizontal="center" vertical="center" wrapText="1"/>
    </xf>
    <xf numFmtId="9" fontId="11" fillId="0" borderId="3" xfId="7" applyFont="1" applyBorder="1" applyAlignment="1">
      <alignment horizontal="center" vertical="center" wrapText="1"/>
    </xf>
    <xf numFmtId="0" fontId="3" fillId="0" borderId="0" xfId="291" applyFont="1" applyAlignment="1">
      <alignment vertical="center" wrapText="1"/>
    </xf>
    <xf numFmtId="0" fontId="3" fillId="0" borderId="0" xfId="291" applyFont="1" applyAlignment="1">
      <alignment horizontal="center" vertical="center" wrapText="1"/>
    </xf>
    <xf numFmtId="0" fontId="12" fillId="0" borderId="4" xfId="291" applyFont="1" applyBorder="1" applyAlignment="1">
      <alignment horizontal="center" wrapText="1"/>
    </xf>
    <xf numFmtId="168" fontId="12" fillId="0" borderId="14" xfId="291" applyNumberFormat="1" applyFont="1" applyBorder="1" applyAlignment="1">
      <alignment horizontal="center"/>
    </xf>
    <xf numFmtId="167" fontId="12" fillId="0" borderId="14" xfId="291" applyNumberFormat="1" applyFont="1" applyBorder="1" applyAlignment="1">
      <alignment horizontal="center"/>
    </xf>
    <xf numFmtId="168" fontId="12" fillId="0" borderId="9" xfId="291" applyNumberFormat="1" applyFont="1" applyBorder="1" applyAlignment="1">
      <alignment horizontal="center"/>
    </xf>
    <xf numFmtId="168" fontId="12" fillId="0" borderId="0" xfId="291" applyNumberFormat="1" applyFont="1" applyAlignment="1">
      <alignment horizontal="center"/>
    </xf>
    <xf numFmtId="0" fontId="12" fillId="0" borderId="6" xfId="291" applyFont="1" applyBorder="1" applyAlignment="1">
      <alignment horizontal="center" wrapText="1"/>
    </xf>
    <xf numFmtId="168" fontId="12" fillId="0" borderId="16" xfId="291" applyNumberFormat="1" applyFont="1" applyBorder="1" applyAlignment="1">
      <alignment horizontal="center"/>
    </xf>
    <xf numFmtId="167" fontId="12" fillId="0" borderId="16" xfId="291" applyNumberFormat="1" applyFont="1" applyBorder="1" applyAlignment="1">
      <alignment horizontal="center"/>
    </xf>
    <xf numFmtId="168" fontId="12" fillId="0" borderId="3" xfId="291" applyNumberFormat="1" applyFont="1" applyBorder="1" applyAlignment="1">
      <alignment horizontal="center"/>
    </xf>
    <xf numFmtId="0" fontId="68" fillId="0" borderId="0" xfId="131" applyNumberFormat="1" applyAlignment="1" applyProtection="1"/>
    <xf numFmtId="3" fontId="113" fillId="0" borderId="0" xfId="0" applyNumberFormat="1" applyFont="1" applyAlignment="1">
      <alignment horizontal="left"/>
    </xf>
    <xf numFmtId="3" fontId="113" fillId="0" borderId="0" xfId="6" applyNumberFormat="1" applyFont="1" applyAlignment="1">
      <alignment horizontal="left"/>
    </xf>
    <xf numFmtId="175" fontId="0" fillId="0" borderId="46" xfId="6" applyNumberFormat="1" applyFont="1" applyBorder="1"/>
    <xf numFmtId="9" fontId="0" fillId="0" borderId="0" xfId="7" applyFont="1"/>
    <xf numFmtId="2" fontId="102" fillId="0" borderId="0" xfId="0" applyNumberFormat="1" applyFont="1" applyAlignment="1">
      <alignment horizontal="right"/>
    </xf>
    <xf numFmtId="175" fontId="21" fillId="57" borderId="0" xfId="0" applyNumberFormat="1" applyFont="1" applyFill="1" applyAlignment="1">
      <alignment horizontal="left"/>
    </xf>
    <xf numFmtId="0" fontId="100" fillId="61" borderId="42" xfId="0" applyFont="1" applyFill="1" applyBorder="1" applyAlignment="1">
      <alignment horizontal="center" vertical="center" wrapText="1"/>
    </xf>
    <xf numFmtId="43" fontId="1" fillId="0" borderId="0" xfId="0" applyNumberFormat="1" applyFont="1"/>
    <xf numFmtId="166" fontId="0" fillId="0" borderId="0" xfId="7" applyNumberFormat="1" applyFont="1" applyFill="1"/>
    <xf numFmtId="0" fontId="0" fillId="73" borderId="0" xfId="0" applyFill="1"/>
    <xf numFmtId="174" fontId="20" fillId="0" borderId="0" xfId="0" applyNumberFormat="1" applyFont="1"/>
    <xf numFmtId="16" fontId="117" fillId="0" borderId="0" xfId="0" applyNumberFormat="1" applyFont="1"/>
    <xf numFmtId="0" fontId="117" fillId="0" borderId="0" xfId="0" applyFont="1"/>
    <xf numFmtId="2" fontId="107" fillId="71" borderId="0" xfId="0" applyNumberFormat="1" applyFont="1" applyFill="1"/>
    <xf numFmtId="175" fontId="0" fillId="0" borderId="46" xfId="0" applyNumberFormat="1" applyBorder="1"/>
    <xf numFmtId="171" fontId="109" fillId="0" borderId="14" xfId="0" applyNumberFormat="1" applyFont="1" applyBorder="1" applyAlignment="1">
      <alignment horizontal="center" vertical="center" wrapText="1"/>
    </xf>
    <xf numFmtId="0" fontId="103" fillId="60" borderId="57" xfId="0" applyFont="1" applyFill="1" applyBorder="1" applyAlignment="1">
      <alignment horizontal="center" vertical="center" wrapText="1"/>
    </xf>
    <xf numFmtId="0" fontId="119" fillId="0" borderId="14" xfId="0" applyFont="1" applyBorder="1" applyAlignment="1">
      <alignment horizontal="left" vertical="center" wrapText="1"/>
    </xf>
    <xf numFmtId="185" fontId="120" fillId="0" borderId="14" xfId="0" applyNumberFormat="1" applyFont="1" applyBorder="1" applyAlignment="1">
      <alignment horizontal="center" vertical="center" wrapText="1"/>
    </xf>
    <xf numFmtId="171" fontId="120" fillId="0" borderId="14" xfId="0" applyNumberFormat="1" applyFont="1" applyBorder="1" applyAlignment="1">
      <alignment horizontal="center" vertical="center" wrapText="1"/>
    </xf>
    <xf numFmtId="0" fontId="111" fillId="0" borderId="14" xfId="0" applyFont="1" applyBorder="1" applyAlignment="1">
      <alignment vertical="center"/>
    </xf>
    <xf numFmtId="0" fontId="121" fillId="0" borderId="0" xfId="0" applyFont="1"/>
    <xf numFmtId="0" fontId="119" fillId="0" borderId="14" xfId="0" applyFont="1" applyBorder="1" applyAlignment="1">
      <alignment horizontal="center" vertical="center" wrapText="1"/>
    </xf>
    <xf numFmtId="171" fontId="24" fillId="0" borderId="20" xfId="0" applyNumberFormat="1" applyFont="1" applyBorder="1" applyAlignment="1">
      <alignment vertical="center"/>
    </xf>
    <xf numFmtId="171" fontId="97" fillId="0" borderId="23" xfId="0" applyNumberFormat="1" applyFont="1" applyBorder="1" applyAlignment="1">
      <alignment vertical="center"/>
    </xf>
    <xf numFmtId="171" fontId="97" fillId="0" borderId="20" xfId="0" applyNumberFormat="1" applyFont="1" applyBorder="1" applyAlignment="1">
      <alignment vertical="center"/>
    </xf>
    <xf numFmtId="1" fontId="24" fillId="0" borderId="23" xfId="0" applyNumberFormat="1" applyFont="1" applyBorder="1" applyAlignment="1">
      <alignment vertical="center"/>
    </xf>
    <xf numFmtId="185" fontId="85" fillId="0" borderId="14" xfId="6" applyNumberFormat="1" applyFont="1" applyFill="1" applyBorder="1" applyAlignment="1">
      <alignment horizontal="center" vertical="center" wrapText="1"/>
    </xf>
    <xf numFmtId="0" fontId="122" fillId="60" borderId="14" xfId="0" applyFont="1" applyFill="1" applyBorder="1" applyAlignment="1">
      <alignment horizontal="center" vertical="center" wrapText="1"/>
    </xf>
    <xf numFmtId="6" fontId="123" fillId="0" borderId="0" xfId="291" applyNumberFormat="1" applyFont="1" applyAlignment="1">
      <alignment horizontal="center"/>
    </xf>
    <xf numFmtId="0" fontId="123" fillId="0" borderId="58" xfId="0" applyFont="1" applyBorder="1" applyAlignment="1">
      <alignment horizontal="center"/>
    </xf>
    <xf numFmtId="6" fontId="123" fillId="0" borderId="27" xfId="291" applyNumberFormat="1" applyFont="1" applyBorder="1" applyAlignment="1">
      <alignment horizontal="center"/>
    </xf>
    <xf numFmtId="0" fontId="123" fillId="0" borderId="45" xfId="0" applyFont="1" applyBorder="1" applyAlignment="1">
      <alignment horizontal="center"/>
    </xf>
    <xf numFmtId="6" fontId="123" fillId="0" borderId="46" xfId="291" applyNumberFormat="1" applyFont="1" applyBorder="1" applyAlignment="1">
      <alignment horizontal="center"/>
    </xf>
    <xf numFmtId="6" fontId="123" fillId="0" borderId="43" xfId="291" applyNumberFormat="1" applyFont="1" applyBorder="1" applyAlignment="1">
      <alignment horizontal="center"/>
    </xf>
    <xf numFmtId="6" fontId="124" fillId="0" borderId="0" xfId="291" applyNumberFormat="1" applyFont="1" applyAlignment="1">
      <alignment horizontal="left"/>
    </xf>
    <xf numFmtId="0" fontId="0" fillId="0" borderId="14" xfId="0" applyBorder="1" applyAlignment="1">
      <alignment vertical="center"/>
    </xf>
    <xf numFmtId="3" fontId="0" fillId="0" borderId="14" xfId="0" applyNumberFormat="1" applyBorder="1" applyAlignment="1">
      <alignment horizontal="right" vertical="center" indent="1"/>
    </xf>
    <xf numFmtId="3" fontId="12" fillId="0" borderId="14" xfId="0" applyNumberFormat="1" applyFont="1" applyBorder="1" applyAlignment="1">
      <alignment horizontal="right" vertical="center" indent="1"/>
    </xf>
    <xf numFmtId="0" fontId="75" fillId="0" borderId="0" xfId="189"/>
    <xf numFmtId="0" fontId="95" fillId="0" borderId="0" xfId="189" applyFont="1"/>
    <xf numFmtId="8" fontId="20" fillId="0" borderId="0" xfId="0" applyNumberFormat="1" applyFont="1" applyAlignment="1">
      <alignment horizontal="right"/>
    </xf>
    <xf numFmtId="0" fontId="12" fillId="0" borderId="4" xfId="291" applyFont="1" applyBorder="1" applyAlignment="1">
      <alignment horizontal="left" wrapText="1"/>
    </xf>
    <xf numFmtId="0" fontId="12" fillId="0" borderId="14" xfId="0" applyFont="1" applyBorder="1" applyAlignment="1">
      <alignment horizontal="left" vertical="center"/>
    </xf>
    <xf numFmtId="0" fontId="12" fillId="0" borderId="14" xfId="0" applyFont="1" applyBorder="1" applyAlignment="1">
      <alignment horizontal="center" vertical="center"/>
    </xf>
    <xf numFmtId="0" fontId="1" fillId="0" borderId="0" xfId="1" applyAlignment="1">
      <alignment horizontal="left"/>
    </xf>
    <xf numFmtId="175" fontId="20" fillId="0" borderId="0" xfId="6" applyNumberFormat="1" applyFont="1" applyFill="1" applyBorder="1" applyAlignment="1">
      <alignment horizontal="right"/>
    </xf>
    <xf numFmtId="174" fontId="20" fillId="0" borderId="14" xfId="5" applyNumberFormat="1" applyFont="1" applyBorder="1" applyAlignment="1">
      <alignment horizontal="right"/>
    </xf>
    <xf numFmtId="3" fontId="20" fillId="0" borderId="14" xfId="0" applyNumberFormat="1" applyFont="1" applyBorder="1" applyAlignment="1">
      <alignment horizontal="right"/>
    </xf>
    <xf numFmtId="0" fontId="1" fillId="0" borderId="14" xfId="1" applyBorder="1" applyAlignment="1">
      <alignment horizontal="left"/>
    </xf>
    <xf numFmtId="0" fontId="12" fillId="0" borderId="14" xfId="17" applyFont="1" applyBorder="1" applyAlignment="1">
      <alignment horizontal="left"/>
    </xf>
    <xf numFmtId="0" fontId="12" fillId="58" borderId="14" xfId="17" applyFont="1" applyFill="1" applyBorder="1" applyAlignment="1">
      <alignment horizontal="left"/>
    </xf>
    <xf numFmtId="9" fontId="0" fillId="0" borderId="14" xfId="0" applyNumberFormat="1" applyBorder="1" applyAlignment="1">
      <alignment horizontal="right"/>
    </xf>
    <xf numFmtId="0" fontId="116" fillId="72" borderId="14" xfId="189" applyFont="1" applyFill="1" applyBorder="1" applyAlignment="1">
      <alignment horizontal="center" vertical="center"/>
    </xf>
    <xf numFmtId="0" fontId="75" fillId="0" borderId="14" xfId="189" applyBorder="1"/>
    <xf numFmtId="43" fontId="0" fillId="0" borderId="0" xfId="5" applyFont="1"/>
    <xf numFmtId="0" fontId="0" fillId="0" borderId="0" xfId="0" applyAlignment="1">
      <alignment horizontal="left"/>
    </xf>
    <xf numFmtId="174" fontId="0" fillId="0" borderId="0" xfId="5" applyNumberFormat="1" applyFont="1" applyAlignment="1">
      <alignment wrapText="1"/>
    </xf>
    <xf numFmtId="0" fontId="0" fillId="75" borderId="63" xfId="0" applyFill="1" applyBorder="1" applyAlignment="1">
      <alignment horizontal="center" wrapText="1"/>
    </xf>
    <xf numFmtId="0" fontId="0" fillId="75" borderId="61" xfId="0" applyFill="1" applyBorder="1" applyAlignment="1">
      <alignment horizontal="center" wrapText="1"/>
    </xf>
    <xf numFmtId="0" fontId="0" fillId="75" borderId="62" xfId="0" applyFill="1" applyBorder="1" applyAlignment="1">
      <alignment horizontal="center" wrapText="1"/>
    </xf>
    <xf numFmtId="0" fontId="0" fillId="0" borderId="21" xfId="0" applyBorder="1" applyAlignment="1">
      <alignment horizontal="center" wrapText="1"/>
    </xf>
    <xf numFmtId="0" fontId="0" fillId="76" borderId="21" xfId="0" applyFill="1" applyBorder="1" applyAlignment="1">
      <alignment horizontal="left" wrapText="1"/>
    </xf>
    <xf numFmtId="0" fontId="0" fillId="74" borderId="21" xfId="0" applyFill="1" applyBorder="1" applyAlignment="1">
      <alignment horizontal="center" wrapText="1"/>
    </xf>
    <xf numFmtId="43" fontId="0" fillId="0" borderId="21" xfId="5" applyFont="1" applyBorder="1" applyAlignment="1">
      <alignment wrapText="1"/>
    </xf>
    <xf numFmtId="174" fontId="0" fillId="0" borderId="23" xfId="5" applyNumberFormat="1" applyFont="1" applyBorder="1" applyAlignment="1">
      <alignment wrapText="1"/>
    </xf>
    <xf numFmtId="0" fontId="0" fillId="75" borderId="21" xfId="0" applyFill="1" applyBorder="1" applyAlignment="1">
      <alignment horizontal="left" wrapText="1"/>
    </xf>
    <xf numFmtId="0" fontId="0" fillId="75" borderId="21" xfId="0" quotePrefix="1" applyFill="1" applyBorder="1" applyAlignment="1">
      <alignment horizontal="center" wrapText="1"/>
    </xf>
    <xf numFmtId="0" fontId="0" fillId="0" borderId="64" xfId="0" quotePrefix="1" applyBorder="1" applyAlignment="1">
      <alignment horizontal="center" wrapText="1"/>
    </xf>
    <xf numFmtId="0" fontId="0" fillId="0" borderId="23" xfId="0" quotePrefix="1" applyBorder="1" applyAlignment="1">
      <alignment horizontal="center" wrapText="1"/>
    </xf>
    <xf numFmtId="0" fontId="0" fillId="76" borderId="23" xfId="0" applyFill="1" applyBorder="1" applyAlignment="1">
      <alignment horizontal="left" wrapText="1"/>
    </xf>
    <xf numFmtId="0" fontId="0" fillId="74" borderId="20" xfId="0" applyFill="1" applyBorder="1" applyAlignment="1">
      <alignment horizontal="center" wrapText="1"/>
    </xf>
    <xf numFmtId="0" fontId="0" fillId="74" borderId="23" xfId="0" applyFill="1" applyBorder="1" applyAlignment="1">
      <alignment horizontal="center" wrapText="1"/>
    </xf>
    <xf numFmtId="174" fontId="0" fillId="0" borderId="0" xfId="5" applyNumberFormat="1" applyFont="1" applyFill="1" applyAlignment="1">
      <alignment horizontal="left"/>
    </xf>
    <xf numFmtId="174" fontId="12" fillId="0" borderId="0" xfId="5" applyNumberFormat="1" applyFont="1" applyFill="1" applyAlignment="1">
      <alignment horizontal="left"/>
    </xf>
    <xf numFmtId="174" fontId="0" fillId="0" borderId="0" xfId="5" applyNumberFormat="1" applyFont="1" applyFill="1" applyBorder="1"/>
    <xf numFmtId="174" fontId="0" fillId="0" borderId="0" xfId="0" applyNumberFormat="1" applyAlignment="1">
      <alignment horizontal="left"/>
    </xf>
    <xf numFmtId="43" fontId="0" fillId="0" borderId="0" xfId="0" applyNumberFormat="1" applyAlignment="1">
      <alignment horizontal="left"/>
    </xf>
    <xf numFmtId="174" fontId="12" fillId="0" borderId="0" xfId="5" applyNumberFormat="1" applyFont="1" applyFill="1"/>
    <xf numFmtId="0" fontId="87" fillId="0" borderId="0" xfId="7" applyNumberFormat="1" applyFont="1" applyFill="1" applyAlignment="1"/>
    <xf numFmtId="0" fontId="3" fillId="70" borderId="0" xfId="0" applyFont="1" applyFill="1"/>
    <xf numFmtId="0" fontId="0" fillId="70" borderId="0" xfId="0" applyFill="1"/>
    <xf numFmtId="0" fontId="0" fillId="0" borderId="0" xfId="0" applyAlignment="1">
      <alignment horizontal="center" vertical="center"/>
    </xf>
    <xf numFmtId="0" fontId="101" fillId="0" borderId="0" xfId="0" applyFont="1"/>
    <xf numFmtId="0" fontId="101" fillId="0" borderId="0" xfId="0" applyFont="1" applyAlignment="1">
      <alignment horizontal="center"/>
    </xf>
    <xf numFmtId="174" fontId="25" fillId="0" borderId="0" xfId="5" applyNumberFormat="1" applyFont="1" applyFill="1" applyAlignment="1"/>
    <xf numFmtId="10" fontId="25" fillId="0" borderId="0" xfId="7" applyNumberFormat="1" applyFont="1" applyFill="1" applyAlignment="1">
      <alignment horizontal="center"/>
    </xf>
    <xf numFmtId="43" fontId="0" fillId="0" borderId="0" xfId="5" applyFont="1" applyFill="1" applyAlignment="1">
      <alignment horizontal="center"/>
    </xf>
    <xf numFmtId="174" fontId="0" fillId="0" borderId="0" xfId="5" applyNumberFormat="1" applyFont="1" applyFill="1" applyAlignment="1"/>
    <xf numFmtId="174" fontId="1" fillId="0" borderId="0" xfId="5" applyNumberFormat="1" applyFont="1" applyFill="1" applyAlignment="1"/>
    <xf numFmtId="174" fontId="12" fillId="0" borderId="0" xfId="5" applyNumberFormat="1" applyFont="1" applyFill="1" applyAlignment="1"/>
    <xf numFmtId="0" fontId="1" fillId="0" borderId="0" xfId="0" applyFont="1"/>
    <xf numFmtId="0" fontId="20" fillId="0" borderId="0" xfId="0" applyFont="1" applyAlignment="1">
      <alignment horizontal="center" vertical="center" wrapText="1"/>
    </xf>
    <xf numFmtId="164" fontId="0" fillId="0" borderId="0" xfId="0" applyNumberFormat="1"/>
    <xf numFmtId="164" fontId="3" fillId="0" borderId="0" xfId="0" applyNumberFormat="1" applyFont="1"/>
    <xf numFmtId="174" fontId="0" fillId="0" borderId="0" xfId="5" applyNumberFormat="1" applyFont="1" applyAlignment="1">
      <alignment horizontal="center" vertical="center"/>
    </xf>
    <xf numFmtId="10" fontId="20" fillId="0" borderId="14" xfId="7" applyNumberFormat="1" applyFont="1" applyBorder="1" applyAlignment="1">
      <alignment horizontal="right"/>
    </xf>
    <xf numFmtId="190" fontId="0" fillId="0" borderId="0" xfId="5" applyNumberFormat="1" applyFont="1"/>
    <xf numFmtId="1" fontId="0" fillId="0" borderId="0" xfId="0" applyNumberFormat="1"/>
    <xf numFmtId="191" fontId="0" fillId="0" borderId="0" xfId="0" applyNumberFormat="1"/>
    <xf numFmtId="164" fontId="0" fillId="0" borderId="0" xfId="5" applyNumberFormat="1" applyFont="1" applyAlignment="1">
      <alignment horizontal="center"/>
    </xf>
    <xf numFmtId="164" fontId="3" fillId="0" borderId="0" xfId="5" applyNumberFormat="1" applyFont="1" applyAlignment="1">
      <alignment horizontal="center"/>
    </xf>
    <xf numFmtId="164" fontId="3" fillId="0" borderId="0" xfId="0" applyNumberFormat="1" applyFont="1" applyAlignment="1">
      <alignment horizontal="center" vertical="center"/>
    </xf>
    <xf numFmtId="0" fontId="84" fillId="0" borderId="0" xfId="0" applyFont="1"/>
    <xf numFmtId="175" fontId="0" fillId="0" borderId="14" xfId="6" applyNumberFormat="1" applyFont="1" applyBorder="1"/>
    <xf numFmtId="0" fontId="3" fillId="59" borderId="14" xfId="0" applyFont="1" applyFill="1" applyBorder="1"/>
    <xf numFmtId="175" fontId="3" fillId="59" borderId="14" xfId="0" applyNumberFormat="1" applyFont="1" applyFill="1" applyBorder="1"/>
    <xf numFmtId="0" fontId="3" fillId="69" borderId="15" xfId="0" applyFont="1" applyFill="1" applyBorder="1"/>
    <xf numFmtId="0" fontId="0" fillId="69" borderId="66" xfId="0" applyFill="1" applyBorder="1"/>
    <xf numFmtId="0" fontId="0" fillId="69" borderId="26" xfId="0" applyFill="1" applyBorder="1"/>
    <xf numFmtId="0" fontId="3" fillId="59" borderId="15" xfId="0" applyFont="1" applyFill="1" applyBorder="1"/>
    <xf numFmtId="0" fontId="3" fillId="59" borderId="66" xfId="0" applyFont="1" applyFill="1" applyBorder="1"/>
    <xf numFmtId="0" fontId="3" fillId="59" borderId="26" xfId="0" applyFont="1" applyFill="1" applyBorder="1"/>
    <xf numFmtId="0" fontId="43" fillId="0" borderId="1" xfId="0" applyFont="1" applyBorder="1"/>
    <xf numFmtId="0" fontId="127" fillId="0" borderId="1" xfId="0" applyFont="1" applyBorder="1"/>
    <xf numFmtId="0" fontId="127" fillId="0" borderId="1" xfId="0" applyFont="1" applyBorder="1" applyAlignment="1">
      <alignment horizontal="center"/>
    </xf>
    <xf numFmtId="0" fontId="43" fillId="0" borderId="0" xfId="0" applyFont="1"/>
    <xf numFmtId="0" fontId="43" fillId="0" borderId="0" xfId="0" applyFont="1" applyAlignment="1">
      <alignment horizontal="center"/>
    </xf>
    <xf numFmtId="0" fontId="127" fillId="0" borderId="0" xfId="0" applyFont="1"/>
    <xf numFmtId="0" fontId="43" fillId="77" borderId="17" xfId="0" applyFont="1" applyFill="1" applyBorder="1"/>
    <xf numFmtId="0" fontId="39" fillId="0" borderId="52" xfId="0" applyFont="1" applyBorder="1" applyAlignment="1">
      <alignment vertical="center"/>
    </xf>
    <xf numFmtId="0" fontId="128" fillId="0" borderId="52" xfId="0" applyFont="1" applyBorder="1" applyAlignment="1">
      <alignment horizontal="center" vertical="center"/>
    </xf>
    <xf numFmtId="0" fontId="39" fillId="0" borderId="52" xfId="0" applyFont="1" applyBorder="1" applyAlignment="1">
      <alignment horizontal="center" vertical="center"/>
    </xf>
    <xf numFmtId="44" fontId="39" fillId="0" borderId="52" xfId="6" applyFont="1" applyBorder="1" applyAlignment="1">
      <alignment vertical="center"/>
    </xf>
    <xf numFmtId="44" fontId="39" fillId="0" borderId="47" xfId="0" applyNumberFormat="1" applyFont="1" applyBorder="1" applyAlignment="1">
      <alignment vertical="center"/>
    </xf>
    <xf numFmtId="0" fontId="39" fillId="0" borderId="67" xfId="0" applyFont="1" applyBorder="1" applyAlignment="1">
      <alignment vertical="center" wrapText="1"/>
    </xf>
    <xf numFmtId="44" fontId="43" fillId="0" borderId="0" xfId="0" applyNumberFormat="1" applyFont="1"/>
    <xf numFmtId="0" fontId="43" fillId="77" borderId="10" xfId="0" applyFont="1" applyFill="1" applyBorder="1"/>
    <xf numFmtId="0" fontId="39" fillId="0" borderId="14" xfId="0" applyFont="1" applyBorder="1" applyAlignment="1">
      <alignment vertical="center" wrapText="1"/>
    </xf>
    <xf numFmtId="3" fontId="128" fillId="0" borderId="14" xfId="0" applyNumberFormat="1" applyFont="1" applyBorder="1" applyAlignment="1">
      <alignment horizontal="center" vertical="center"/>
    </xf>
    <xf numFmtId="0" fontId="39" fillId="0" borderId="14" xfId="0" applyFont="1" applyBorder="1" applyAlignment="1">
      <alignment horizontal="center" vertical="center"/>
    </xf>
    <xf numFmtId="44" fontId="39" fillId="0" borderId="14" xfId="6" applyFont="1" applyBorder="1" applyAlignment="1">
      <alignment vertical="center"/>
    </xf>
    <xf numFmtId="44" fontId="39" fillId="0" borderId="9" xfId="0" applyNumberFormat="1" applyFont="1" applyBorder="1" applyAlignment="1">
      <alignment vertical="center"/>
    </xf>
    <xf numFmtId="0" fontId="39" fillId="0" borderId="68" xfId="0" applyFont="1" applyBorder="1" applyAlignment="1">
      <alignment vertical="center" wrapText="1"/>
    </xf>
    <xf numFmtId="0" fontId="43" fillId="77" borderId="11" xfId="0" applyFont="1" applyFill="1" applyBorder="1"/>
    <xf numFmtId="0" fontId="129" fillId="0" borderId="16" xfId="0" applyFont="1" applyBorder="1" applyAlignment="1">
      <alignment vertical="center" wrapText="1"/>
    </xf>
    <xf numFmtId="3" fontId="128" fillId="0" borderId="16" xfId="0" applyNumberFormat="1" applyFont="1" applyBorder="1" applyAlignment="1">
      <alignment horizontal="center" vertical="center"/>
    </xf>
    <xf numFmtId="0" fontId="129" fillId="0" borderId="16" xfId="0" applyFont="1" applyBorder="1" applyAlignment="1">
      <alignment horizontal="center" vertical="center"/>
    </xf>
    <xf numFmtId="44" fontId="129" fillId="0" borderId="16" xfId="6" applyFont="1" applyBorder="1" applyAlignment="1">
      <alignment vertical="center"/>
    </xf>
    <xf numFmtId="44" fontId="129" fillId="0" borderId="3" xfId="0" applyNumberFormat="1" applyFont="1" applyBorder="1" applyAlignment="1">
      <alignment vertical="center"/>
    </xf>
    <xf numFmtId="0" fontId="39" fillId="0" borderId="69" xfId="0" applyFont="1" applyBorder="1" applyAlignment="1">
      <alignment vertical="center" wrapText="1"/>
    </xf>
    <xf numFmtId="0" fontId="43" fillId="77" borderId="57" xfId="0" applyFont="1" applyFill="1" applyBorder="1"/>
    <xf numFmtId="0" fontId="39" fillId="0" borderId="52" xfId="0" applyFont="1" applyBorder="1" applyAlignment="1">
      <alignment vertical="center" wrapText="1"/>
    </xf>
    <xf numFmtId="0" fontId="128" fillId="0" borderId="14" xfId="0" applyFont="1" applyBorder="1" applyAlignment="1">
      <alignment horizontal="center" vertical="center"/>
    </xf>
    <xf numFmtId="44" fontId="130" fillId="0" borderId="3" xfId="0" applyNumberFormat="1" applyFont="1" applyBorder="1" applyAlignment="1">
      <alignment vertical="center"/>
    </xf>
    <xf numFmtId="192" fontId="39" fillId="0" borderId="52" xfId="0" applyNumberFormat="1" applyFont="1" applyBorder="1" applyAlignment="1">
      <alignment horizontal="left" vertical="center" wrapText="1"/>
    </xf>
    <xf numFmtId="192" fontId="39" fillId="0" borderId="56" xfId="0" applyNumberFormat="1" applyFont="1" applyBorder="1" applyAlignment="1">
      <alignment horizontal="left" vertical="center" wrapText="1"/>
    </xf>
    <xf numFmtId="0" fontId="128" fillId="0" borderId="56" xfId="0" applyFont="1" applyBorder="1" applyAlignment="1">
      <alignment horizontal="center" vertical="center"/>
    </xf>
    <xf numFmtId="0" fontId="39" fillId="0" borderId="16" xfId="0" applyFont="1" applyBorder="1" applyAlignment="1">
      <alignment horizontal="center" vertical="center"/>
    </xf>
    <xf numFmtId="44" fontId="39" fillId="0" borderId="16" xfId="6" applyFont="1" applyBorder="1" applyAlignment="1">
      <alignment vertical="center"/>
    </xf>
    <xf numFmtId="44" fontId="39" fillId="0" borderId="3" xfId="0" applyNumberFormat="1" applyFont="1" applyBorder="1" applyAlignment="1">
      <alignment vertical="center"/>
    </xf>
    <xf numFmtId="0" fontId="128" fillId="0" borderId="70" xfId="0" applyFont="1" applyBorder="1" applyAlignment="1">
      <alignment horizontal="center" vertical="center"/>
    </xf>
    <xf numFmtId="192" fontId="39" fillId="0" borderId="54" xfId="0" applyNumberFormat="1" applyFont="1" applyBorder="1" applyAlignment="1">
      <alignment horizontal="left" vertical="center"/>
    </xf>
    <xf numFmtId="0" fontId="128" fillId="0" borderId="54" xfId="0" applyFont="1" applyBorder="1" applyAlignment="1">
      <alignment horizontal="center" vertical="center"/>
    </xf>
    <xf numFmtId="0" fontId="39" fillId="0" borderId="54" xfId="0" applyFont="1" applyBorder="1" applyAlignment="1">
      <alignment horizontal="center" vertical="center"/>
    </xf>
    <xf numFmtId="44" fontId="39" fillId="0" borderId="54" xfId="6" applyFont="1" applyBorder="1" applyAlignment="1">
      <alignment vertical="center"/>
    </xf>
    <xf numFmtId="44" fontId="39" fillId="0" borderId="55" xfId="0" applyNumberFormat="1" applyFont="1" applyBorder="1" applyAlignment="1">
      <alignment vertical="center"/>
    </xf>
    <xf numFmtId="0" fontId="39" fillId="0" borderId="71" xfId="0" applyFont="1" applyBorder="1" applyAlignment="1">
      <alignment vertical="center" wrapText="1"/>
    </xf>
    <xf numFmtId="0" fontId="39" fillId="0" borderId="72" xfId="0" applyFont="1" applyBorder="1" applyAlignment="1">
      <alignment vertical="center" wrapText="1"/>
    </xf>
    <xf numFmtId="0" fontId="43" fillId="77" borderId="0" xfId="0" applyFont="1" applyFill="1"/>
    <xf numFmtId="0" fontId="39" fillId="0" borderId="54" xfId="0" applyFont="1" applyBorder="1" applyAlignment="1">
      <alignment vertical="center" wrapText="1"/>
    </xf>
    <xf numFmtId="3" fontId="130" fillId="0" borderId="16" xfId="0" applyNumberFormat="1" applyFont="1" applyBorder="1" applyAlignment="1">
      <alignment horizontal="center" vertical="center"/>
    </xf>
    <xf numFmtId="0" fontId="43" fillId="77" borderId="61" xfId="0" applyFont="1" applyFill="1" applyBorder="1"/>
    <xf numFmtId="0" fontId="129" fillId="0" borderId="48" xfId="0" applyFont="1" applyBorder="1" applyAlignment="1">
      <alignment vertical="center" wrapText="1"/>
    </xf>
    <xf numFmtId="3" fontId="128" fillId="0" borderId="44" xfId="0" applyNumberFormat="1" applyFont="1" applyBorder="1" applyAlignment="1">
      <alignment horizontal="center" vertical="center"/>
    </xf>
    <xf numFmtId="0" fontId="129" fillId="0" borderId="52" xfId="0" applyFont="1" applyBorder="1" applyAlignment="1">
      <alignment horizontal="center" vertical="center"/>
    </xf>
    <xf numFmtId="44" fontId="129" fillId="0" borderId="52" xfId="6" applyFont="1" applyBorder="1" applyAlignment="1">
      <alignment vertical="center"/>
    </xf>
    <xf numFmtId="0" fontId="128" fillId="0" borderId="67" xfId="0" applyFont="1" applyBorder="1" applyAlignment="1">
      <alignment vertical="center" wrapText="1"/>
    </xf>
    <xf numFmtId="3" fontId="128" fillId="0" borderId="54" xfId="0" applyNumberFormat="1" applyFont="1" applyBorder="1" applyAlignment="1">
      <alignment horizontal="center" vertical="center"/>
    </xf>
    <xf numFmtId="0" fontId="129" fillId="0" borderId="54" xfId="0" applyFont="1" applyBorder="1" applyAlignment="1">
      <alignment horizontal="center" vertical="center"/>
    </xf>
    <xf numFmtId="44" fontId="129" fillId="0" borderId="54" xfId="6" applyFont="1" applyBorder="1" applyAlignment="1">
      <alignment vertical="center"/>
    </xf>
    <xf numFmtId="0" fontId="128" fillId="0" borderId="71" xfId="0" applyFont="1" applyBorder="1" applyAlignment="1">
      <alignment vertical="center" wrapText="1"/>
    </xf>
    <xf numFmtId="0" fontId="43" fillId="77" borderId="60" xfId="0" applyFont="1" applyFill="1" applyBorder="1" applyAlignment="1">
      <alignment vertical="top"/>
    </xf>
    <xf numFmtId="0" fontId="129" fillId="0" borderId="70" xfId="0" applyFont="1" applyBorder="1" applyAlignment="1">
      <alignment vertical="center" wrapText="1"/>
    </xf>
    <xf numFmtId="3" fontId="128" fillId="0" borderId="70" xfId="0" applyNumberFormat="1" applyFont="1" applyBorder="1" applyAlignment="1">
      <alignment horizontal="center" vertical="center"/>
    </xf>
    <xf numFmtId="0" fontId="129" fillId="0" borderId="70" xfId="0" applyFont="1" applyBorder="1" applyAlignment="1">
      <alignment horizontal="center" vertical="center"/>
    </xf>
    <xf numFmtId="44" fontId="129" fillId="0" borderId="70" xfId="6" applyFont="1" applyBorder="1" applyAlignment="1">
      <alignment vertical="center"/>
    </xf>
    <xf numFmtId="44" fontId="129" fillId="0" borderId="73" xfId="0" applyNumberFormat="1" applyFont="1" applyBorder="1" applyAlignment="1">
      <alignment vertical="center"/>
    </xf>
    <xf numFmtId="0" fontId="39" fillId="0" borderId="21" xfId="0" applyFont="1" applyBorder="1" applyAlignment="1">
      <alignment vertical="center" wrapText="1"/>
    </xf>
    <xf numFmtId="0" fontId="43" fillId="77" borderId="13" xfId="0" applyFont="1" applyFill="1" applyBorder="1"/>
    <xf numFmtId="0" fontId="43" fillId="77" borderId="64" xfId="0" applyFont="1" applyFill="1" applyBorder="1"/>
    <xf numFmtId="0" fontId="0" fillId="0" borderId="17" xfId="0" applyBorder="1"/>
    <xf numFmtId="0" fontId="129" fillId="0" borderId="12" xfId="0" applyFont="1" applyBorder="1" applyAlignment="1">
      <alignment horizontal="left" vertical="center"/>
    </xf>
    <xf numFmtId="0" fontId="131" fillId="0" borderId="18" xfId="0" applyFont="1" applyBorder="1"/>
    <xf numFmtId="0" fontId="98" fillId="0" borderId="18" xfId="0" applyFont="1" applyBorder="1"/>
    <xf numFmtId="0" fontId="98" fillId="0" borderId="52" xfId="0" applyFont="1" applyBorder="1"/>
    <xf numFmtId="44" fontId="98" fillId="0" borderId="47" xfId="0" applyNumberFormat="1" applyFont="1" applyBorder="1"/>
    <xf numFmtId="0" fontId="132" fillId="0" borderId="19" xfId="0" applyFont="1" applyBorder="1"/>
    <xf numFmtId="0" fontId="0" fillId="0" borderId="10" xfId="0" applyBorder="1"/>
    <xf numFmtId="0" fontId="39" fillId="0" borderId="15" xfId="0" applyFont="1" applyBorder="1" applyAlignment="1">
      <alignment horizontal="left" vertical="center"/>
    </xf>
    <xf numFmtId="0" fontId="133" fillId="0" borderId="66" xfId="0" applyFont="1" applyBorder="1"/>
    <xf numFmtId="0" fontId="76" fillId="0" borderId="66" xfId="0" applyFont="1" applyBorder="1"/>
    <xf numFmtId="10" fontId="76" fillId="0" borderId="14" xfId="7" applyNumberFormat="1" applyFont="1" applyBorder="1"/>
    <xf numFmtId="44" fontId="76" fillId="0" borderId="9" xfId="0" applyNumberFormat="1" applyFont="1" applyBorder="1"/>
    <xf numFmtId="0" fontId="39" fillId="0" borderId="5" xfId="0" applyFont="1" applyBorder="1" applyAlignment="1">
      <alignment vertical="center" wrapText="1"/>
    </xf>
    <xf numFmtId="0" fontId="129" fillId="0" borderId="45" xfId="0" applyFont="1" applyBorder="1" applyAlignment="1">
      <alignment horizontal="left" vertical="center"/>
    </xf>
    <xf numFmtId="0" fontId="76" fillId="0" borderId="46" xfId="0" applyFont="1" applyBorder="1"/>
    <xf numFmtId="10" fontId="76" fillId="0" borderId="54" xfId="7" applyNumberFormat="1" applyFont="1" applyBorder="1"/>
    <xf numFmtId="44" fontId="98" fillId="0" borderId="55" xfId="0" applyNumberFormat="1" applyFont="1" applyBorder="1"/>
    <xf numFmtId="0" fontId="39" fillId="0" borderId="74" xfId="0" applyFont="1" applyBorder="1" applyAlignment="1">
      <alignment vertical="center" wrapText="1"/>
    </xf>
    <xf numFmtId="0" fontId="39" fillId="0" borderId="45" xfId="0" applyFont="1" applyBorder="1" applyAlignment="1">
      <alignment horizontal="left" vertical="center"/>
    </xf>
    <xf numFmtId="44" fontId="76" fillId="0" borderId="55" xfId="0" applyNumberFormat="1" applyFont="1" applyBorder="1"/>
    <xf numFmtId="0" fontId="132" fillId="0" borderId="74" xfId="0" applyFont="1" applyBorder="1"/>
    <xf numFmtId="0" fontId="76" fillId="0" borderId="74" xfId="0" applyFont="1" applyBorder="1"/>
    <xf numFmtId="0" fontId="0" fillId="0" borderId="11" xfId="0" applyBorder="1"/>
    <xf numFmtId="0" fontId="129" fillId="78" borderId="75" xfId="0" applyFont="1" applyFill="1" applyBorder="1" applyAlignment="1">
      <alignment horizontal="left" vertical="center"/>
    </xf>
    <xf numFmtId="0" fontId="98" fillId="78" borderId="76" xfId="0" applyFont="1" applyFill="1" applyBorder="1"/>
    <xf numFmtId="0" fontId="98" fillId="78" borderId="16" xfId="0" applyFont="1" applyFill="1" applyBorder="1"/>
    <xf numFmtId="175" fontId="98" fillId="78" borderId="3" xfId="0" applyNumberFormat="1" applyFont="1" applyFill="1" applyBorder="1"/>
    <xf numFmtId="0" fontId="76" fillId="0" borderId="7" xfId="0" applyFont="1" applyBorder="1"/>
    <xf numFmtId="0" fontId="43" fillId="79" borderId="64" xfId="0" applyFont="1" applyFill="1" applyBorder="1"/>
    <xf numFmtId="0" fontId="43" fillId="79" borderId="13" xfId="0" applyFont="1" applyFill="1" applyBorder="1"/>
    <xf numFmtId="0" fontId="43" fillId="79" borderId="60" xfId="0" applyFont="1" applyFill="1" applyBorder="1" applyAlignment="1">
      <alignment vertical="top"/>
    </xf>
    <xf numFmtId="0" fontId="43" fillId="79" borderId="11" xfId="0" applyFont="1" applyFill="1" applyBorder="1"/>
    <xf numFmtId="0" fontId="43" fillId="79" borderId="0" xfId="0" applyFont="1" applyFill="1"/>
    <xf numFmtId="0" fontId="43" fillId="79" borderId="61" xfId="0" applyFont="1" applyFill="1" applyBorder="1"/>
    <xf numFmtId="0" fontId="43" fillId="79" borderId="17" xfId="0" applyFont="1" applyFill="1" applyBorder="1"/>
    <xf numFmtId="0" fontId="43" fillId="79" borderId="57" xfId="0" applyFont="1" applyFill="1" applyBorder="1"/>
    <xf numFmtId="0" fontId="43" fillId="79" borderId="10" xfId="0" applyFont="1" applyFill="1" applyBorder="1"/>
    <xf numFmtId="0" fontId="4" fillId="0" borderId="0" xfId="290"/>
    <xf numFmtId="183" fontId="0" fillId="0" borderId="0" xfId="0" applyNumberFormat="1"/>
    <xf numFmtId="3" fontId="12" fillId="0" borderId="24" xfId="0" applyNumberFormat="1" applyFont="1" applyBorder="1" applyAlignment="1">
      <alignment horizontal="center" vertical="center"/>
    </xf>
    <xf numFmtId="10" fontId="0" fillId="0" borderId="0" xfId="7" applyNumberFormat="1" applyFont="1" applyFill="1" applyBorder="1"/>
    <xf numFmtId="41" fontId="0" fillId="0" borderId="0" xfId="0" applyNumberFormat="1"/>
    <xf numFmtId="164" fontId="0" fillId="0" borderId="27" xfId="0" applyNumberFormat="1" applyBorder="1"/>
    <xf numFmtId="41" fontId="0" fillId="0" borderId="57" xfId="0" applyNumberFormat="1" applyBorder="1"/>
    <xf numFmtId="0" fontId="21" fillId="3" borderId="0" xfId="0" applyFont="1" applyFill="1" applyAlignment="1">
      <alignment horizontal="center" wrapText="1"/>
    </xf>
    <xf numFmtId="0" fontId="135" fillId="0" borderId="0" xfId="189" applyFont="1"/>
    <xf numFmtId="164" fontId="20" fillId="0" borderId="0" xfId="0" applyNumberFormat="1" applyFont="1" applyAlignment="1">
      <alignment horizontal="right"/>
    </xf>
    <xf numFmtId="1" fontId="20" fillId="0" borderId="0" xfId="0" applyNumberFormat="1" applyFont="1" applyAlignment="1">
      <alignment horizontal="right"/>
    </xf>
    <xf numFmtId="3" fontId="0" fillId="0" borderId="0" xfId="0" applyNumberFormat="1"/>
    <xf numFmtId="175" fontId="21" fillId="57" borderId="0" xfId="0" applyNumberFormat="1" applyFont="1" applyFill="1"/>
    <xf numFmtId="173" fontId="87" fillId="0" borderId="0" xfId="5" applyNumberFormat="1" applyFont="1" applyFill="1"/>
    <xf numFmtId="0" fontId="136" fillId="80" borderId="0" xfId="0" applyFont="1" applyFill="1"/>
    <xf numFmtId="0" fontId="136" fillId="80" borderId="0" xfId="0" applyFont="1" applyFill="1" applyAlignment="1">
      <alignment horizontal="center"/>
    </xf>
    <xf numFmtId="0" fontId="137" fillId="0" borderId="0" xfId="0" applyFont="1"/>
    <xf numFmtId="0" fontId="134" fillId="0" borderId="0" xfId="0" applyFont="1"/>
    <xf numFmtId="0" fontId="134" fillId="0" borderId="0" xfId="0" applyFont="1" applyAlignment="1">
      <alignment horizontal="center"/>
    </xf>
    <xf numFmtId="0" fontId="134" fillId="69" borderId="0" xfId="0" applyFont="1" applyFill="1"/>
    <xf numFmtId="0" fontId="138" fillId="69" borderId="0" xfId="0" applyFont="1" applyFill="1"/>
    <xf numFmtId="0" fontId="134" fillId="69" borderId="0" xfId="0" applyFont="1" applyFill="1" applyAlignment="1">
      <alignment horizontal="center"/>
    </xf>
    <xf numFmtId="0" fontId="136" fillId="80" borderId="79" xfId="0" applyFont="1" applyFill="1" applyBorder="1" applyAlignment="1">
      <alignment horizontal="center"/>
    </xf>
    <xf numFmtId="0" fontId="136" fillId="80" borderId="80" xfId="0" applyFont="1" applyFill="1" applyBorder="1"/>
    <xf numFmtId="0" fontId="136" fillId="80" borderId="81" xfId="0" applyFont="1" applyFill="1" applyBorder="1"/>
    <xf numFmtId="0" fontId="136" fillId="80" borderId="0" xfId="0" applyFont="1" applyFill="1" applyAlignment="1">
      <alignment horizontal="center" vertical="center"/>
    </xf>
    <xf numFmtId="0" fontId="134" fillId="0" borderId="84" xfId="0" applyFont="1" applyBorder="1" applyAlignment="1">
      <alignment horizontal="center"/>
    </xf>
    <xf numFmtId="0" fontId="134" fillId="0" borderId="86" xfId="0" applyFont="1" applyBorder="1" applyAlignment="1">
      <alignment horizontal="center"/>
    </xf>
    <xf numFmtId="0" fontId="134" fillId="0" borderId="88" xfId="0" applyFont="1" applyBorder="1" applyAlignment="1">
      <alignment horizontal="center"/>
    </xf>
    <xf numFmtId="0" fontId="134" fillId="0" borderId="77" xfId="0" applyFont="1" applyBorder="1"/>
    <xf numFmtId="0" fontId="134" fillId="0" borderId="77" xfId="0" applyFont="1" applyBorder="1" applyAlignment="1">
      <alignment horizontal="center"/>
    </xf>
    <xf numFmtId="0" fontId="134" fillId="0" borderId="85" xfId="0" applyFont="1" applyBorder="1"/>
    <xf numFmtId="0" fontId="134" fillId="0" borderId="78" xfId="0" applyFont="1" applyBorder="1"/>
    <xf numFmtId="0" fontId="134" fillId="0" borderId="78" xfId="0" applyFont="1" applyBorder="1" applyAlignment="1">
      <alignment horizontal="center"/>
    </xf>
    <xf numFmtId="0" fontId="134" fillId="0" borderId="87" xfId="0" applyFont="1" applyBorder="1"/>
    <xf numFmtId="0" fontId="134" fillId="0" borderId="89" xfId="0" applyFont="1" applyBorder="1"/>
    <xf numFmtId="0" fontId="134" fillId="0" borderId="89" xfId="0" applyFont="1" applyBorder="1" applyAlignment="1">
      <alignment horizontal="center"/>
    </xf>
    <xf numFmtId="0" fontId="134" fillId="0" borderId="90" xfId="0" applyFont="1" applyBorder="1"/>
    <xf numFmtId="0" fontId="136" fillId="80" borderId="82" xfId="0" applyFont="1" applyFill="1" applyBorder="1" applyAlignment="1">
      <alignment horizontal="center" vertical="center"/>
    </xf>
    <xf numFmtId="0" fontId="136" fillId="80" borderId="83" xfId="0" applyFont="1" applyFill="1" applyBorder="1" applyAlignment="1">
      <alignment horizontal="center" vertical="center"/>
    </xf>
    <xf numFmtId="0" fontId="139" fillId="82" borderId="79" xfId="0" applyFont="1" applyFill="1" applyBorder="1" applyAlignment="1">
      <alignment horizontal="center"/>
    </xf>
    <xf numFmtId="0" fontId="139" fillId="82" borderId="80" xfId="0" applyFont="1" applyFill="1" applyBorder="1" applyAlignment="1">
      <alignment horizontal="center"/>
    </xf>
    <xf numFmtId="0" fontId="139" fillId="82" borderId="81" xfId="0" applyFont="1" applyFill="1" applyBorder="1" applyAlignment="1">
      <alignment horizontal="center"/>
    </xf>
    <xf numFmtId="1" fontId="134" fillId="0" borderId="84" xfId="0" applyNumberFormat="1" applyFont="1" applyBorder="1" applyAlignment="1">
      <alignment horizontal="center"/>
    </xf>
    <xf numFmtId="1" fontId="134" fillId="0" borderId="77" xfId="0" applyNumberFormat="1" applyFont="1" applyBorder="1" applyAlignment="1">
      <alignment horizontal="center"/>
    </xf>
    <xf numFmtId="1" fontId="134" fillId="0" borderId="85" xfId="0" applyNumberFormat="1" applyFont="1" applyBorder="1" applyAlignment="1">
      <alignment horizontal="center"/>
    </xf>
    <xf numFmtId="1" fontId="134" fillId="0" borderId="86" xfId="0" applyNumberFormat="1" applyFont="1" applyBorder="1" applyAlignment="1">
      <alignment horizontal="center"/>
    </xf>
    <xf numFmtId="1" fontId="134" fillId="0" borderId="78" xfId="0" applyNumberFormat="1" applyFont="1" applyBorder="1" applyAlignment="1">
      <alignment horizontal="center"/>
    </xf>
    <xf numFmtId="1" fontId="134" fillId="0" borderId="87" xfId="0" applyNumberFormat="1" applyFont="1" applyBorder="1" applyAlignment="1">
      <alignment horizontal="center"/>
    </xf>
    <xf numFmtId="1" fontId="134" fillId="0" borderId="88" xfId="0" applyNumberFormat="1" applyFont="1" applyBorder="1" applyAlignment="1">
      <alignment horizontal="center"/>
    </xf>
    <xf numFmtId="1" fontId="134" fillId="0" borderId="89" xfId="0" applyNumberFormat="1" applyFont="1" applyBorder="1" applyAlignment="1">
      <alignment horizontal="center"/>
    </xf>
    <xf numFmtId="1" fontId="134" fillId="0" borderId="90" xfId="0" applyNumberFormat="1" applyFont="1" applyBorder="1" applyAlignment="1">
      <alignment horizontal="center"/>
    </xf>
    <xf numFmtId="174" fontId="36" fillId="0" borderId="0" xfId="5" applyNumberFormat="1" applyFont="1" applyFill="1" applyAlignment="1">
      <alignment horizontal="center"/>
    </xf>
    <xf numFmtId="174" fontId="36" fillId="0" borderId="0" xfId="5" applyNumberFormat="1" applyFont="1" applyFill="1" applyBorder="1"/>
    <xf numFmtId="174" fontId="36" fillId="0" borderId="0" xfId="5" applyNumberFormat="1" applyFont="1"/>
    <xf numFmtId="9" fontId="134" fillId="0" borderId="85" xfId="7" applyFont="1" applyBorder="1" applyAlignment="1">
      <alignment horizontal="center"/>
    </xf>
    <xf numFmtId="9" fontId="134" fillId="0" borderId="87" xfId="7" applyFont="1" applyBorder="1" applyAlignment="1">
      <alignment horizontal="center"/>
    </xf>
    <xf numFmtId="9" fontId="134" fillId="0" borderId="90" xfId="7" applyFont="1" applyBorder="1" applyAlignment="1">
      <alignment horizontal="center"/>
    </xf>
    <xf numFmtId="0" fontId="139" fillId="82" borderId="79" xfId="0" applyFont="1" applyFill="1" applyBorder="1" applyAlignment="1">
      <alignment horizontal="centerContinuous"/>
    </xf>
    <xf numFmtId="0" fontId="139" fillId="82" borderId="81" xfId="0" applyFont="1" applyFill="1" applyBorder="1" applyAlignment="1">
      <alignment horizontal="centerContinuous"/>
    </xf>
    <xf numFmtId="9" fontId="134" fillId="0" borderId="84" xfId="7" applyFont="1" applyBorder="1" applyAlignment="1">
      <alignment horizontal="center"/>
    </xf>
    <xf numFmtId="9" fontId="134" fillId="0" borderId="86" xfId="7" applyFont="1" applyBorder="1" applyAlignment="1">
      <alignment horizontal="center"/>
    </xf>
    <xf numFmtId="9" fontId="134" fillId="0" borderId="88" xfId="7" applyFont="1" applyBorder="1" applyAlignment="1">
      <alignment horizontal="center"/>
    </xf>
    <xf numFmtId="174" fontId="0" fillId="0" borderId="14" xfId="5" applyNumberFormat="1" applyFont="1" applyBorder="1" applyAlignment="1">
      <alignment horizontal="right"/>
    </xf>
    <xf numFmtId="9" fontId="20" fillId="0" borderId="14" xfId="7" applyFont="1" applyBorder="1" applyAlignment="1">
      <alignment horizontal="right"/>
    </xf>
    <xf numFmtId="166" fontId="134" fillId="0" borderId="87" xfId="7" applyNumberFormat="1" applyFont="1" applyBorder="1" applyAlignment="1">
      <alignment horizontal="center"/>
    </xf>
    <xf numFmtId="166" fontId="134" fillId="0" borderId="85" xfId="7" applyNumberFormat="1" applyFont="1" applyBorder="1" applyAlignment="1">
      <alignment horizontal="center"/>
    </xf>
    <xf numFmtId="166" fontId="134" fillId="0" borderId="90" xfId="7" applyNumberFormat="1" applyFont="1" applyBorder="1" applyAlignment="1">
      <alignment horizontal="center"/>
    </xf>
    <xf numFmtId="0" fontId="0" fillId="0" borderId="0" xfId="0" applyAlignment="1">
      <alignment horizontal="center" wrapText="1"/>
    </xf>
    <xf numFmtId="0" fontId="12" fillId="0" borderId="14" xfId="0" applyFont="1" applyBorder="1" applyAlignment="1">
      <alignment horizontal="center" wrapText="1"/>
    </xf>
    <xf numFmtId="0" fontId="0" fillId="0" borderId="14" xfId="0" applyBorder="1" applyAlignment="1">
      <alignment horizontal="center" vertical="center" wrapText="1"/>
    </xf>
    <xf numFmtId="0" fontId="12" fillId="0" borderId="14" xfId="0" applyFont="1" applyBorder="1" applyAlignment="1">
      <alignment horizontal="center"/>
    </xf>
    <xf numFmtId="44" fontId="12" fillId="0" borderId="14" xfId="0" applyNumberFormat="1" applyFont="1" applyBorder="1" applyAlignment="1">
      <alignment horizontal="center" vertical="center" wrapText="1"/>
    </xf>
    <xf numFmtId="42" fontId="20" fillId="0" borderId="14" xfId="0" applyNumberFormat="1" applyFont="1" applyBorder="1" applyAlignment="1">
      <alignment vertical="center"/>
    </xf>
    <xf numFmtId="0" fontId="20" fillId="0" borderId="14" xfId="0" applyFont="1" applyBorder="1" applyAlignment="1">
      <alignment vertical="center"/>
    </xf>
    <xf numFmtId="0" fontId="22" fillId="0" borderId="91" xfId="0" applyFont="1" applyBorder="1" applyAlignment="1">
      <alignment horizontal="center" vertical="center"/>
    </xf>
    <xf numFmtId="44" fontId="3" fillId="0" borderId="70" xfId="0" applyNumberFormat="1" applyFont="1" applyBorder="1"/>
    <xf numFmtId="44" fontId="3" fillId="0" borderId="73" xfId="0" applyNumberFormat="1" applyFont="1" applyBorder="1"/>
    <xf numFmtId="0" fontId="102" fillId="0" borderId="14" xfId="0" applyFont="1" applyBorder="1"/>
    <xf numFmtId="166" fontId="20" fillId="84" borderId="14" xfId="0" applyNumberFormat="1" applyFont="1" applyFill="1" applyBorder="1" applyAlignment="1">
      <alignment horizontal="right"/>
    </xf>
    <xf numFmtId="9" fontId="20" fillId="84" borderId="14" xfId="7" applyFont="1" applyFill="1" applyBorder="1" applyAlignment="1">
      <alignment horizontal="right"/>
    </xf>
    <xf numFmtId="0" fontId="38" fillId="0" borderId="0" xfId="0" applyFont="1"/>
    <xf numFmtId="0" fontId="35" fillId="0" borderId="0" xfId="0" applyFont="1" applyAlignment="1">
      <alignment horizontal="center" vertical="center"/>
    </xf>
    <xf numFmtId="0" fontId="140" fillId="85" borderId="0" xfId="0" applyFont="1" applyFill="1"/>
    <xf numFmtId="0" fontId="141" fillId="85" borderId="0" xfId="0" applyFont="1" applyFill="1"/>
    <xf numFmtId="0" fontId="126" fillId="0" borderId="0" xfId="0" applyFont="1"/>
    <xf numFmtId="0" fontId="126" fillId="0" borderId="0" xfId="0" applyFont="1" applyAlignment="1">
      <alignment horizontal="right"/>
    </xf>
    <xf numFmtId="171" fontId="142" fillId="0" borderId="14" xfId="0" applyNumberFormat="1" applyFont="1" applyBorder="1" applyAlignment="1">
      <alignment horizontal="center" vertical="center"/>
    </xf>
    <xf numFmtId="3" fontId="126" fillId="2" borderId="14" xfId="0" applyNumberFormat="1" applyFont="1" applyFill="1" applyBorder="1" applyAlignment="1">
      <alignment horizontal="center" vertical="center"/>
    </xf>
    <xf numFmtId="0" fontId="126" fillId="2" borderId="14" xfId="0" applyFont="1" applyFill="1" applyBorder="1" applyAlignment="1">
      <alignment horizontal="center" vertical="center"/>
    </xf>
    <xf numFmtId="0" fontId="126" fillId="0" borderId="0" xfId="0" applyFont="1" applyAlignment="1">
      <alignment horizontal="center"/>
    </xf>
    <xf numFmtId="0" fontId="97" fillId="0" borderId="0" xfId="0" applyFont="1" applyAlignment="1">
      <alignment horizontal="center"/>
    </xf>
    <xf numFmtId="0" fontId="126" fillId="86" borderId="0" xfId="0" applyFont="1" applyFill="1" applyAlignment="1">
      <alignment horizontal="center" vertical="center"/>
    </xf>
    <xf numFmtId="193" fontId="126" fillId="86" borderId="0" xfId="0" applyNumberFormat="1" applyFont="1" applyFill="1"/>
    <xf numFmtId="0" fontId="126" fillId="0" borderId="0" xfId="0" applyFont="1" applyAlignment="1">
      <alignment horizontal="center" vertical="center"/>
    </xf>
    <xf numFmtId="193" fontId="126" fillId="0" borderId="0" xfId="0" applyNumberFormat="1" applyFont="1"/>
    <xf numFmtId="195" fontId="126" fillId="0" borderId="0" xfId="0" applyNumberFormat="1" applyFont="1"/>
    <xf numFmtId="0" fontId="143" fillId="0" borderId="0" xfId="0" applyFont="1"/>
    <xf numFmtId="0" fontId="143" fillId="0" borderId="0" xfId="0" applyFont="1" applyAlignment="1">
      <alignment horizontal="center" vertical="center"/>
    </xf>
    <xf numFmtId="193" fontId="143" fillId="0" borderId="0" xfId="0" applyNumberFormat="1" applyFont="1"/>
    <xf numFmtId="0" fontId="126" fillId="75" borderId="0" xfId="0" applyFont="1" applyFill="1"/>
    <xf numFmtId="193" fontId="143" fillId="0" borderId="0" xfId="0" applyNumberFormat="1" applyFont="1" applyAlignment="1">
      <alignment horizontal="center"/>
    </xf>
    <xf numFmtId="1" fontId="143" fillId="0" borderId="0" xfId="0" applyNumberFormat="1" applyFont="1" applyAlignment="1">
      <alignment horizontal="center"/>
    </xf>
    <xf numFmtId="196" fontId="0" fillId="0" borderId="0" xfId="0" applyNumberFormat="1"/>
    <xf numFmtId="197" fontId="0" fillId="0" borderId="0" xfId="0" applyNumberFormat="1"/>
    <xf numFmtId="190" fontId="0" fillId="0" borderId="0" xfId="0" applyNumberFormat="1"/>
    <xf numFmtId="194" fontId="126" fillId="86" borderId="0" xfId="0" applyNumberFormat="1" applyFont="1" applyFill="1"/>
    <xf numFmtId="0" fontId="144" fillId="84" borderId="0" xfId="0" applyFont="1" applyFill="1" applyAlignment="1">
      <alignment horizontal="left"/>
    </xf>
    <xf numFmtId="0" fontId="21" fillId="3" borderId="0" xfId="0" applyFont="1" applyFill="1" applyAlignment="1">
      <alignment horizontal="right" vertical="center"/>
    </xf>
    <xf numFmtId="173" fontId="12" fillId="0" borderId="14" xfId="17" applyNumberFormat="1" applyFont="1" applyBorder="1" applyAlignment="1">
      <alignment horizontal="right"/>
    </xf>
    <xf numFmtId="189" fontId="12" fillId="0" borderId="14" xfId="17" applyNumberFormat="1" applyFont="1" applyBorder="1" applyAlignment="1">
      <alignment horizontal="right"/>
    </xf>
    <xf numFmtId="168" fontId="1" fillId="0" borderId="14" xfId="1" applyNumberFormat="1" applyBorder="1" applyAlignment="1">
      <alignment horizontal="right"/>
    </xf>
    <xf numFmtId="167" fontId="1" fillId="0" borderId="14" xfId="1" applyNumberFormat="1" applyBorder="1" applyAlignment="1">
      <alignment horizontal="right"/>
    </xf>
    <xf numFmtId="165" fontId="12" fillId="0" borderId="14" xfId="6" applyNumberFormat="1" applyFont="1" applyBorder="1" applyAlignment="1">
      <alignment horizontal="right"/>
    </xf>
    <xf numFmtId="0" fontId="0" fillId="0" borderId="0" xfId="0" applyAlignment="1">
      <alignment horizontal="center" vertical="center" wrapText="1"/>
    </xf>
    <xf numFmtId="0" fontId="101" fillId="0" borderId="0" xfId="0" applyFont="1" applyAlignment="1">
      <alignment horizontal="center" vertical="center"/>
    </xf>
    <xf numFmtId="174" fontId="3" fillId="0" borderId="0" xfId="5" applyNumberFormat="1" applyFont="1" applyAlignment="1">
      <alignment horizontal="center" vertical="center"/>
    </xf>
    <xf numFmtId="164" fontId="3" fillId="0" borderId="0" xfId="5" applyNumberFormat="1" applyFont="1" applyAlignment="1">
      <alignment horizontal="center" vertical="center"/>
    </xf>
    <xf numFmtId="164" fontId="0" fillId="0" borderId="0" xfId="5" applyNumberFormat="1" applyFont="1" applyAlignment="1">
      <alignment horizontal="center" vertical="center"/>
    </xf>
    <xf numFmtId="43" fontId="0" fillId="0" borderId="0" xfId="5" applyFont="1" applyAlignment="1">
      <alignment horizontal="center" vertical="center"/>
    </xf>
    <xf numFmtId="172" fontId="0" fillId="0" borderId="0" xfId="5" applyNumberFormat="1" applyFont="1" applyAlignment="1">
      <alignment horizontal="center" vertical="center"/>
    </xf>
    <xf numFmtId="166" fontId="145" fillId="84" borderId="85" xfId="7" applyNumberFormat="1" applyFont="1" applyFill="1" applyBorder="1" applyAlignment="1">
      <alignment horizontal="center"/>
    </xf>
    <xf numFmtId="0" fontId="146" fillId="0" borderId="60" xfId="0" applyFont="1" applyBorder="1" applyAlignment="1">
      <alignment horizontal="left" vertical="center"/>
    </xf>
    <xf numFmtId="0" fontId="146" fillId="0" borderId="65" xfId="0" applyFont="1" applyBorder="1" applyAlignment="1">
      <alignment horizontal="left" vertical="center"/>
    </xf>
    <xf numFmtId="174" fontId="146" fillId="0" borderId="65" xfId="5" applyNumberFormat="1" applyFont="1" applyFill="1" applyBorder="1" applyAlignment="1">
      <alignment horizontal="center" vertical="center"/>
    </xf>
    <xf numFmtId="174" fontId="146" fillId="0" borderId="65" xfId="0" applyNumberFormat="1" applyFont="1" applyBorder="1" applyAlignment="1">
      <alignment horizontal="center" vertical="center"/>
    </xf>
    <xf numFmtId="174" fontId="147" fillId="0" borderId="65" xfId="5" applyNumberFormat="1" applyFont="1" applyFill="1" applyBorder="1" applyAlignment="1">
      <alignment horizontal="center" vertical="center"/>
    </xf>
    <xf numFmtId="43" fontId="146" fillId="0" borderId="65" xfId="0" applyNumberFormat="1" applyFont="1" applyBorder="1" applyAlignment="1">
      <alignment horizontal="center" vertical="center"/>
    </xf>
    <xf numFmtId="174" fontId="148" fillId="81" borderId="65" xfId="5" applyNumberFormat="1" applyFont="1" applyFill="1" applyBorder="1" applyAlignment="1">
      <alignment horizontal="center" vertical="center"/>
    </xf>
    <xf numFmtId="174" fontId="146" fillId="74" borderId="65" xfId="5" applyNumberFormat="1" applyFont="1" applyFill="1" applyBorder="1" applyAlignment="1">
      <alignment horizontal="center" vertical="center"/>
    </xf>
    <xf numFmtId="174" fontId="147" fillId="74" borderId="8" xfId="5" applyNumberFormat="1" applyFont="1" applyFill="1" applyBorder="1" applyAlignment="1">
      <alignment horizontal="center" vertical="center"/>
    </xf>
    <xf numFmtId="0" fontId="146" fillId="0" borderId="0" xfId="0" applyFont="1" applyAlignment="1">
      <alignment horizontal="center" vertical="center"/>
    </xf>
    <xf numFmtId="0" fontId="0" fillId="0" borderId="58" xfId="0" applyBorder="1" applyAlignment="1">
      <alignment horizontal="center" vertical="center"/>
    </xf>
    <xf numFmtId="0" fontId="0" fillId="0" borderId="46" xfId="0" applyBorder="1"/>
    <xf numFmtId="0" fontId="76" fillId="0" borderId="52" xfId="0" applyFont="1" applyBorder="1" applyAlignment="1">
      <alignment vertical="center"/>
    </xf>
    <xf numFmtId="0" fontId="76" fillId="0" borderId="16" xfId="0" applyFont="1" applyBorder="1" applyAlignment="1">
      <alignment vertical="center"/>
    </xf>
    <xf numFmtId="0" fontId="76" fillId="0" borderId="70" xfId="0" applyFont="1" applyBorder="1" applyAlignment="1">
      <alignment vertical="center"/>
    </xf>
    <xf numFmtId="0" fontId="76" fillId="0" borderId="56" xfId="0" applyFont="1" applyBorder="1" applyAlignment="1">
      <alignment vertical="center"/>
    </xf>
    <xf numFmtId="0" fontId="100" fillId="61" borderId="92" xfId="0" applyFont="1" applyFill="1" applyBorder="1" applyAlignment="1">
      <alignment horizontal="center" vertical="center"/>
    </xf>
    <xf numFmtId="0" fontId="100" fillId="61" borderId="93" xfId="0" applyFont="1" applyFill="1" applyBorder="1" applyAlignment="1">
      <alignment horizontal="center" vertical="center"/>
    </xf>
    <xf numFmtId="0" fontId="100" fillId="61" borderId="93" xfId="0" applyFont="1" applyFill="1" applyBorder="1" applyAlignment="1">
      <alignment horizontal="center" vertical="center" wrapText="1"/>
    </xf>
    <xf numFmtId="0" fontId="100" fillId="61" borderId="94" xfId="0" applyFont="1" applyFill="1" applyBorder="1" applyAlignment="1">
      <alignment horizontal="center" vertical="center" wrapText="1"/>
    </xf>
    <xf numFmtId="0" fontId="100" fillId="61" borderId="95" xfId="0" applyFont="1" applyFill="1" applyBorder="1" applyAlignment="1">
      <alignment horizontal="center" vertical="center"/>
    </xf>
    <xf numFmtId="0" fontId="100" fillId="61" borderId="96" xfId="0" applyFont="1" applyFill="1" applyBorder="1" applyAlignment="1">
      <alignment horizontal="center" vertical="center" wrapText="1"/>
    </xf>
    <xf numFmtId="0" fontId="76" fillId="0" borderId="91" xfId="0" applyFont="1" applyBorder="1" applyAlignment="1">
      <alignment horizontal="center" vertical="center"/>
    </xf>
    <xf numFmtId="0" fontId="0" fillId="87" borderId="0" xfId="0" applyFill="1"/>
    <xf numFmtId="0" fontId="0" fillId="88" borderId="0" xfId="0" applyFill="1"/>
    <xf numFmtId="0" fontId="0" fillId="89" borderId="0" xfId="0" applyFill="1"/>
    <xf numFmtId="0" fontId="149" fillId="0" borderId="0" xfId="0" applyFont="1"/>
    <xf numFmtId="0" fontId="150" fillId="56" borderId="0" xfId="0" applyFont="1" applyFill="1"/>
    <xf numFmtId="0" fontId="38" fillId="56" borderId="0" xfId="0" applyFont="1" applyFill="1" applyAlignment="1">
      <alignment horizontal="center"/>
    </xf>
    <xf numFmtId="199" fontId="0" fillId="0" borderId="14" xfId="0" applyNumberFormat="1" applyBorder="1" applyAlignment="1">
      <alignment horizontal="right" vertical="center" indent="1"/>
    </xf>
    <xf numFmtId="0" fontId="0" fillId="90" borderId="48" xfId="0" applyFill="1" applyBorder="1"/>
    <xf numFmtId="0" fontId="0" fillId="0" borderId="47" xfId="0" applyBorder="1"/>
    <xf numFmtId="0" fontId="0" fillId="90" borderId="4" xfId="0" applyFill="1" applyBorder="1"/>
    <xf numFmtId="0" fontId="0" fillId="0" borderId="9" xfId="0" applyBorder="1"/>
    <xf numFmtId="9" fontId="0" fillId="0" borderId="9" xfId="0" applyNumberFormat="1" applyBorder="1"/>
    <xf numFmtId="0" fontId="0" fillId="90" borderId="6" xfId="0" applyFill="1" applyBorder="1"/>
    <xf numFmtId="9" fontId="0" fillId="0" borderId="3" xfId="0" applyNumberFormat="1" applyBorder="1"/>
    <xf numFmtId="174" fontId="1" fillId="0" borderId="0" xfId="5" applyNumberFormat="1" applyFont="1" applyFill="1" applyBorder="1" applyAlignment="1">
      <alignment horizontal="center" vertical="center"/>
    </xf>
    <xf numFmtId="174" fontId="0" fillId="0" borderId="64" xfId="5" applyNumberFormat="1" applyFont="1" applyBorder="1" applyAlignment="1">
      <alignment wrapText="1"/>
    </xf>
    <xf numFmtId="0" fontId="0" fillId="75" borderId="8" xfId="0" applyFill="1" applyBorder="1" applyAlignment="1">
      <alignment horizontal="left" wrapText="1"/>
    </xf>
    <xf numFmtId="0" fontId="20" fillId="0" borderId="14" xfId="0" applyFont="1" applyBorder="1" applyAlignment="1">
      <alignment wrapText="1"/>
    </xf>
    <xf numFmtId="9" fontId="20" fillId="0" borderId="0" xfId="7" applyFont="1"/>
    <xf numFmtId="1" fontId="126" fillId="86" borderId="0" xfId="0" applyNumberFormat="1" applyFont="1" applyFill="1" applyAlignment="1">
      <alignment horizontal="center" vertical="center"/>
    </xf>
    <xf numFmtId="4" fontId="0" fillId="0" borderId="0" xfId="0" applyNumberFormat="1" applyAlignment="1">
      <alignment horizontal="center" vertical="center"/>
    </xf>
    <xf numFmtId="0" fontId="0" fillId="0" borderId="4" xfId="0" applyBorder="1"/>
    <xf numFmtId="0" fontId="0" fillId="0" borderId="6" xfId="0" applyBorder="1"/>
    <xf numFmtId="1" fontId="0" fillId="0" borderId="9" xfId="0" applyNumberFormat="1" applyBorder="1" applyAlignment="1">
      <alignment horizontal="center"/>
    </xf>
    <xf numFmtId="1" fontId="0" fillId="0" borderId="3" xfId="0" applyNumberFormat="1" applyBorder="1" applyAlignment="1">
      <alignment horizontal="center"/>
    </xf>
    <xf numFmtId="185" fontId="85" fillId="0" borderId="14" xfId="0" applyNumberFormat="1" applyFont="1" applyBorder="1" applyAlignment="1">
      <alignment horizontal="center" vertical="center" wrapText="1"/>
    </xf>
    <xf numFmtId="171" fontId="85" fillId="0" borderId="14" xfId="0" applyNumberFormat="1" applyFont="1" applyBorder="1" applyAlignment="1">
      <alignment horizontal="center" vertical="center" wrapText="1"/>
    </xf>
    <xf numFmtId="186" fontId="85" fillId="0" borderId="14" xfId="0" applyNumberFormat="1" applyFont="1" applyBorder="1" applyAlignment="1">
      <alignment horizontal="center" vertical="center" wrapText="1"/>
    </xf>
    <xf numFmtId="43" fontId="146" fillId="0" borderId="65" xfId="5" applyFont="1" applyFill="1" applyBorder="1" applyAlignment="1">
      <alignment horizontal="center" vertical="center"/>
    </xf>
    <xf numFmtId="0" fontId="151" fillId="0" borderId="0" xfId="0" applyFont="1" applyAlignment="1">
      <alignment horizontal="center" wrapText="1"/>
    </xf>
    <xf numFmtId="0" fontId="102" fillId="0" borderId="0" xfId="0" applyFont="1"/>
    <xf numFmtId="2" fontId="0" fillId="0" borderId="0" xfId="0" applyNumberFormat="1" applyAlignment="1">
      <alignment horizontal="center" vertical="center"/>
    </xf>
    <xf numFmtId="8" fontId="0" fillId="0" borderId="0" xfId="0" applyNumberFormat="1" applyAlignment="1">
      <alignment horizontal="center" vertical="center"/>
    </xf>
    <xf numFmtId="198" fontId="0" fillId="0" borderId="0" xfId="0" applyNumberFormat="1" applyAlignment="1">
      <alignment horizontal="center" vertical="center"/>
    </xf>
    <xf numFmtId="3" fontId="0" fillId="0" borderId="0" xfId="0" applyNumberFormat="1" applyAlignment="1">
      <alignment horizontal="center" vertical="center"/>
    </xf>
    <xf numFmtId="0" fontId="20" fillId="0" borderId="58" xfId="0" applyFont="1" applyBorder="1"/>
    <xf numFmtId="0" fontId="20" fillId="0" borderId="27" xfId="0" applyFont="1" applyBorder="1"/>
    <xf numFmtId="0" fontId="20" fillId="0" borderId="45" xfId="0" applyFont="1" applyBorder="1"/>
    <xf numFmtId="0" fontId="20" fillId="0" borderId="46" xfId="0" applyFont="1" applyBorder="1"/>
    <xf numFmtId="0" fontId="20" fillId="0" borderId="43" xfId="0" applyFont="1" applyBorder="1"/>
    <xf numFmtId="174" fontId="0" fillId="0" borderId="14" xfId="5" applyNumberFormat="1" applyFont="1" applyBorder="1"/>
    <xf numFmtId="174" fontId="3" fillId="0" borderId="14" xfId="5" applyNumberFormat="1" applyFont="1" applyBorder="1"/>
    <xf numFmtId="174" fontId="3" fillId="59" borderId="66" xfId="5" applyNumberFormat="1" applyFont="1" applyFill="1" applyBorder="1"/>
    <xf numFmtId="0" fontId="152" fillId="0" borderId="14" xfId="0" applyFont="1" applyBorder="1"/>
    <xf numFmtId="43" fontId="20" fillId="0" borderId="0" xfId="0" applyNumberFormat="1" applyFont="1"/>
    <xf numFmtId="0" fontId="35" fillId="0" borderId="0" xfId="0" applyFont="1" applyAlignment="1">
      <alignment horizontal="right"/>
    </xf>
    <xf numFmtId="0" fontId="35" fillId="0" borderId="0" xfId="0" applyFont="1" applyAlignment="1">
      <alignment horizontal="center" vertical="center" wrapText="1"/>
    </xf>
    <xf numFmtId="174" fontId="38" fillId="0" borderId="0" xfId="0" applyNumberFormat="1" applyFont="1"/>
    <xf numFmtId="174" fontId="38" fillId="0" borderId="0" xfId="5" applyNumberFormat="1" applyFont="1" applyFill="1" applyBorder="1"/>
    <xf numFmtId="174" fontId="0" fillId="84" borderId="0" xfId="5" applyNumberFormat="1" applyFont="1" applyFill="1"/>
    <xf numFmtId="171" fontId="0" fillId="0" borderId="0" xfId="0" applyNumberFormat="1" applyAlignment="1">
      <alignment horizontal="center" vertical="center"/>
    </xf>
    <xf numFmtId="200" fontId="0" fillId="0" borderId="0" xfId="0" applyNumberFormat="1"/>
    <xf numFmtId="0" fontId="39" fillId="0" borderId="14" xfId="0" applyFont="1" applyBorder="1" applyAlignment="1">
      <alignment horizontal="left" vertical="center" wrapText="1"/>
    </xf>
    <xf numFmtId="0" fontId="100" fillId="61" borderId="48" xfId="0" applyFont="1" applyFill="1" applyBorder="1" applyAlignment="1">
      <alignment horizontal="center" vertical="center"/>
    </xf>
    <xf numFmtId="0" fontId="100" fillId="61" borderId="6" xfId="0" applyFont="1" applyFill="1" applyBorder="1" applyAlignment="1">
      <alignment horizontal="center" vertical="center"/>
    </xf>
    <xf numFmtId="0" fontId="20" fillId="0" borderId="0" xfId="0" applyFont="1" applyAlignment="1">
      <alignment horizontal="left" vertical="center"/>
    </xf>
    <xf numFmtId="0" fontId="153" fillId="0" borderId="0" xfId="0" applyFont="1" applyAlignment="1">
      <alignment wrapText="1"/>
    </xf>
    <xf numFmtId="0" fontId="154" fillId="0" borderId="0" xfId="0" applyFont="1"/>
    <xf numFmtId="0" fontId="102" fillId="0" borderId="0" xfId="0" applyFont="1" applyAlignment="1">
      <alignment horizontal="right"/>
    </xf>
    <xf numFmtId="1" fontId="0" fillId="0" borderId="47" xfId="0" applyNumberFormat="1" applyBorder="1"/>
    <xf numFmtId="1" fontId="0" fillId="0" borderId="3" xfId="0" applyNumberFormat="1" applyBorder="1"/>
    <xf numFmtId="0" fontId="102" fillId="0" borderId="0" xfId="0" applyFont="1" applyAlignment="1">
      <alignment horizontal="left" vertical="center"/>
    </xf>
    <xf numFmtId="0" fontId="155" fillId="0" borderId="0" xfId="0" applyFont="1" applyAlignment="1">
      <alignment horizontal="left" vertical="center"/>
    </xf>
    <xf numFmtId="187" fontId="0" fillId="0" borderId="0" xfId="0" applyNumberFormat="1" applyAlignment="1">
      <alignment horizontal="center"/>
    </xf>
    <xf numFmtId="185" fontId="0" fillId="0" borderId="0" xfId="0" applyNumberFormat="1"/>
    <xf numFmtId="185" fontId="0" fillId="0" borderId="14" xfId="0" applyNumberFormat="1" applyBorder="1"/>
    <xf numFmtId="9" fontId="3" fillId="0" borderId="14" xfId="0" applyNumberFormat="1" applyFont="1" applyBorder="1"/>
    <xf numFmtId="9" fontId="156" fillId="0" borderId="14" xfId="0" applyNumberFormat="1" applyFont="1" applyBorder="1" applyAlignment="1">
      <alignment horizontal="right"/>
    </xf>
    <xf numFmtId="164" fontId="83" fillId="0" borderId="14" xfId="0" applyNumberFormat="1" applyFont="1" applyBorder="1"/>
    <xf numFmtId="1" fontId="134" fillId="0" borderId="0" xfId="0" applyNumberFormat="1" applyFont="1" applyAlignment="1">
      <alignment horizontal="center"/>
    </xf>
    <xf numFmtId="9" fontId="134" fillId="0" borderId="0" xfId="7" applyFont="1"/>
    <xf numFmtId="185" fontId="76" fillId="0" borderId="52" xfId="0" applyNumberFormat="1" applyFont="1" applyBorder="1" applyAlignment="1">
      <alignment vertical="center"/>
    </xf>
    <xf numFmtId="185" fontId="76" fillId="0" borderId="47" xfId="0" applyNumberFormat="1" applyFont="1" applyBorder="1" applyAlignment="1">
      <alignment vertical="center"/>
    </xf>
    <xf numFmtId="185" fontId="76" fillId="0" borderId="14" xfId="0" applyNumberFormat="1" applyFont="1" applyBorder="1" applyAlignment="1">
      <alignment vertical="center"/>
    </xf>
    <xf numFmtId="185" fontId="76" fillId="0" borderId="9" xfId="0" applyNumberFormat="1" applyFont="1" applyBorder="1" applyAlignment="1">
      <alignment vertical="center"/>
    </xf>
    <xf numFmtId="185" fontId="76" fillId="0" borderId="16" xfId="0" applyNumberFormat="1" applyFont="1" applyBorder="1" applyAlignment="1">
      <alignment vertical="center"/>
    </xf>
    <xf numFmtId="185" fontId="76" fillId="0" borderId="3" xfId="0" applyNumberFormat="1" applyFont="1" applyBorder="1" applyAlignment="1">
      <alignment vertical="center"/>
    </xf>
    <xf numFmtId="185" fontId="76" fillId="0" borderId="70" xfId="0" applyNumberFormat="1" applyFont="1" applyBorder="1" applyAlignment="1">
      <alignment vertical="center"/>
    </xf>
    <xf numFmtId="185" fontId="76" fillId="0" borderId="73" xfId="0" applyNumberFormat="1" applyFont="1" applyBorder="1" applyAlignment="1">
      <alignment vertical="center"/>
    </xf>
    <xf numFmtId="185" fontId="98" fillId="0" borderId="70" xfId="0" applyNumberFormat="1" applyFont="1" applyBorder="1" applyAlignment="1">
      <alignment vertical="center" wrapText="1"/>
    </xf>
    <xf numFmtId="185" fontId="98" fillId="0" borderId="73" xfId="0" applyNumberFormat="1" applyFont="1" applyBorder="1" applyAlignment="1">
      <alignment vertical="center" wrapText="1"/>
    </xf>
    <xf numFmtId="0" fontId="137" fillId="0" borderId="0" xfId="0" applyFont="1" applyAlignment="1">
      <alignment horizontal="center" vertical="center" wrapText="1"/>
    </xf>
    <xf numFmtId="0" fontId="9" fillId="0" borderId="14" xfId="0" applyFont="1" applyBorder="1" applyAlignment="1">
      <alignment horizontal="center" vertical="center"/>
    </xf>
    <xf numFmtId="0" fontId="157" fillId="0" borderId="14" xfId="0" applyFont="1" applyBorder="1" applyAlignment="1">
      <alignment vertical="center" wrapText="1"/>
    </xf>
    <xf numFmtId="0" fontId="20" fillId="0" borderId="103" xfId="0" applyFont="1" applyBorder="1"/>
    <xf numFmtId="0" fontId="20" fillId="0" borderId="103" xfId="0" applyFont="1" applyBorder="1" applyAlignment="1">
      <alignment horizontal="center"/>
    </xf>
    <xf numFmtId="0" fontId="0" fillId="0" borderId="103" xfId="0" applyBorder="1" applyAlignment="1">
      <alignment horizontal="right"/>
    </xf>
    <xf numFmtId="9" fontId="0" fillId="0" borderId="103" xfId="7" applyFont="1" applyFill="1" applyBorder="1"/>
    <xf numFmtId="0" fontId="0" fillId="0" borderId="103" xfId="0" applyBorder="1"/>
    <xf numFmtId="0" fontId="103" fillId="60" borderId="103" xfId="0" applyFont="1" applyFill="1" applyBorder="1" applyAlignment="1">
      <alignment horizontal="center" vertical="center" wrapText="1"/>
    </xf>
    <xf numFmtId="0" fontId="20" fillId="0" borderId="100" xfId="0" applyFont="1" applyBorder="1" applyAlignment="1">
      <alignment horizontal="right"/>
    </xf>
    <xf numFmtId="1" fontId="20" fillId="0" borderId="101" xfId="0" applyNumberFormat="1" applyFont="1" applyBorder="1" applyAlignment="1">
      <alignment horizontal="left" vertical="center"/>
    </xf>
    <xf numFmtId="0" fontId="20" fillId="0" borderId="101" xfId="0" applyFont="1" applyBorder="1"/>
    <xf numFmtId="0" fontId="20" fillId="0" borderId="102" xfId="0" applyFont="1" applyBorder="1"/>
    <xf numFmtId="0" fontId="21" fillId="3" borderId="103" xfId="0" applyFont="1" applyFill="1" applyBorder="1" applyAlignment="1">
      <alignment horizontal="center" wrapText="1"/>
    </xf>
    <xf numFmtId="0" fontId="21" fillId="3" borderId="100" xfId="0" applyFont="1" applyFill="1" applyBorder="1" applyAlignment="1">
      <alignment horizontal="center" wrapText="1"/>
    </xf>
    <xf numFmtId="0" fontId="21" fillId="3" borderId="101" xfId="0" applyFont="1" applyFill="1" applyBorder="1" applyAlignment="1">
      <alignment horizontal="center" wrapText="1"/>
    </xf>
    <xf numFmtId="0" fontId="21" fillId="3" borderId="102" xfId="0" applyFont="1" applyFill="1" applyBorder="1" applyAlignment="1">
      <alignment horizontal="center" wrapText="1"/>
    </xf>
    <xf numFmtId="44" fontId="12" fillId="0" borderId="103" xfId="0" applyNumberFormat="1" applyFont="1" applyBorder="1" applyAlignment="1">
      <alignment horizontal="center" vertical="center" wrapText="1"/>
    </xf>
    <xf numFmtId="42" fontId="20" fillId="0" borderId="103" xfId="0" applyNumberFormat="1" applyFont="1" applyBorder="1" applyAlignment="1">
      <alignment vertical="center"/>
    </xf>
    <xf numFmtId="192" fontId="39" fillId="0" borderId="103" xfId="0" applyNumberFormat="1" applyFont="1" applyBorder="1" applyAlignment="1">
      <alignment horizontal="left" vertical="center"/>
    </xf>
    <xf numFmtId="0" fontId="128" fillId="0" borderId="103" xfId="0" applyFont="1" applyBorder="1" applyAlignment="1">
      <alignment horizontal="center" vertical="center"/>
    </xf>
    <xf numFmtId="0" fontId="39" fillId="0" borderId="103" xfId="0" applyFont="1" applyBorder="1" applyAlignment="1">
      <alignment horizontal="center" vertical="center"/>
    </xf>
    <xf numFmtId="44" fontId="39" fillId="0" borderId="103" xfId="6" applyFont="1" applyBorder="1" applyAlignment="1">
      <alignment vertical="center"/>
    </xf>
    <xf numFmtId="192" fontId="76" fillId="0" borderId="103" xfId="0" applyNumberFormat="1" applyFont="1" applyBorder="1" applyAlignment="1">
      <alignment horizontal="left" vertical="center"/>
    </xf>
    <xf numFmtId="192" fontId="39" fillId="0" borderId="103" xfId="0" applyNumberFormat="1" applyFont="1" applyBorder="1" applyAlignment="1">
      <alignment horizontal="left" vertical="center" wrapText="1"/>
    </xf>
    <xf numFmtId="0" fontId="116" fillId="72" borderId="104" xfId="189" applyFont="1" applyFill="1" applyBorder="1" applyAlignment="1">
      <alignment horizontal="center" vertical="center"/>
    </xf>
    <xf numFmtId="0" fontId="0" fillId="0" borderId="105" xfId="0" applyBorder="1" applyAlignment="1">
      <alignment horizontal="center"/>
    </xf>
    <xf numFmtId="164" fontId="0" fillId="0" borderId="106" xfId="0" applyNumberFormat="1" applyBorder="1" applyAlignment="1">
      <alignment horizontal="center"/>
    </xf>
    <xf numFmtId="0" fontId="3" fillId="0" borderId="105" xfId="0" applyFont="1" applyBorder="1" applyAlignment="1">
      <alignment horizontal="center" vertical="center"/>
    </xf>
    <xf numFmtId="0" fontId="0" fillId="0" borderId="107" xfId="0" applyBorder="1" applyAlignment="1">
      <alignment horizontal="center" vertical="center"/>
    </xf>
    <xf numFmtId="0" fontId="0" fillId="0" borderId="105" xfId="0" applyBorder="1" applyAlignment="1">
      <alignment horizontal="center" vertical="center" wrapText="1"/>
    </xf>
    <xf numFmtId="4" fontId="0" fillId="0" borderId="107" xfId="0" applyNumberFormat="1" applyBorder="1" applyAlignment="1">
      <alignment horizontal="center" vertical="center"/>
    </xf>
    <xf numFmtId="0" fontId="123" fillId="0" borderId="108" xfId="0" applyFont="1" applyBorder="1" applyAlignment="1">
      <alignment horizontal="center"/>
    </xf>
    <xf numFmtId="6" fontId="123" fillId="0" borderId="109" xfId="291" applyNumberFormat="1" applyFont="1" applyBorder="1" applyAlignment="1">
      <alignment horizontal="center"/>
    </xf>
    <xf numFmtId="6" fontId="123" fillId="0" borderId="110" xfId="291" applyNumberFormat="1" applyFont="1" applyBorder="1" applyAlignment="1">
      <alignment horizontal="center"/>
    </xf>
    <xf numFmtId="2" fontId="12" fillId="0" borderId="107" xfId="291" applyNumberFormat="1" applyFont="1" applyBorder="1" applyAlignment="1">
      <alignment horizontal="center"/>
    </xf>
    <xf numFmtId="165" fontId="0" fillId="0" borderId="107" xfId="0" applyNumberFormat="1" applyBorder="1" applyAlignment="1">
      <alignment horizontal="center" vertical="center"/>
    </xf>
    <xf numFmtId="0" fontId="1" fillId="0" borderId="105" xfId="291" applyFont="1" applyBorder="1" applyAlignment="1">
      <alignment horizontal="center" vertical="center" wrapText="1"/>
    </xf>
    <xf numFmtId="167" fontId="12" fillId="0" borderId="107" xfId="291" applyNumberFormat="1" applyFont="1" applyBorder="1" applyAlignment="1">
      <alignment horizontal="center" vertical="center"/>
    </xf>
    <xf numFmtId="0" fontId="12" fillId="0" borderId="105" xfId="291" applyFont="1" applyBorder="1" applyAlignment="1">
      <alignment horizontal="center" vertical="center" wrapText="1"/>
    </xf>
    <xf numFmtId="165" fontId="12" fillId="0" borderId="107" xfId="291" applyNumberFormat="1" applyFont="1" applyBorder="1" applyAlignment="1">
      <alignment horizontal="center" vertical="center"/>
    </xf>
    <xf numFmtId="165" fontId="12" fillId="0" borderId="111" xfId="291" applyNumberFormat="1" applyFont="1" applyBorder="1" applyAlignment="1">
      <alignment horizontal="center" vertical="center"/>
    </xf>
    <xf numFmtId="165" fontId="1" fillId="0" borderId="111" xfId="291" applyNumberFormat="1" applyFont="1" applyBorder="1" applyAlignment="1">
      <alignment horizontal="center" vertical="center"/>
    </xf>
    <xf numFmtId="0" fontId="0" fillId="0" borderId="105" xfId="291" applyFont="1" applyBorder="1" applyAlignment="1">
      <alignment horizontal="center" vertical="center" wrapText="1"/>
    </xf>
    <xf numFmtId="170" fontId="84" fillId="0" borderId="0" xfId="0" applyNumberFormat="1" applyFont="1" applyAlignment="1">
      <alignment horizontal="center"/>
    </xf>
    <xf numFmtId="2" fontId="109" fillId="0" borderId="14" xfId="0" applyNumberFormat="1" applyFont="1" applyBorder="1" applyAlignment="1">
      <alignment horizontal="center" vertical="center" wrapText="1"/>
    </xf>
    <xf numFmtId="201" fontId="109" fillId="0" borderId="14" xfId="0" applyNumberFormat="1" applyFont="1" applyBorder="1" applyAlignment="1">
      <alignment horizontal="center" vertical="center" wrapText="1"/>
    </xf>
    <xf numFmtId="0" fontId="3" fillId="68" borderId="14" xfId="0" applyFont="1" applyFill="1" applyBorder="1"/>
    <xf numFmtId="164" fontId="3" fillId="0" borderId="14" xfId="0" applyNumberFormat="1" applyFont="1" applyBorder="1"/>
    <xf numFmtId="0" fontId="76" fillId="0" borderId="14" xfId="0" applyFont="1" applyBorder="1" applyAlignment="1">
      <alignment horizontal="left" vertical="center" wrapText="1"/>
    </xf>
    <xf numFmtId="0" fontId="118" fillId="0" borderId="46" xfId="0" applyFont="1" applyBorder="1" applyAlignment="1">
      <alignment horizontal="left" vertical="center" wrapText="1"/>
    </xf>
    <xf numFmtId="0" fontId="93" fillId="60" borderId="0" xfId="0" applyFont="1" applyFill="1" applyAlignment="1">
      <alignment horizontal="left" vertical="top" wrapText="1"/>
    </xf>
    <xf numFmtId="0" fontId="91" fillId="60" borderId="0" xfId="0" applyFont="1" applyFill="1" applyAlignment="1">
      <alignment horizontal="center" vertical="center"/>
    </xf>
    <xf numFmtId="184" fontId="91" fillId="60" borderId="0" xfId="0" applyNumberFormat="1" applyFont="1" applyFill="1" applyAlignment="1">
      <alignment horizontal="center" vertical="center"/>
    </xf>
    <xf numFmtId="0" fontId="92" fillId="60" borderId="0" xfId="0" applyFont="1" applyFill="1" applyAlignment="1">
      <alignment horizontal="left"/>
    </xf>
    <xf numFmtId="175" fontId="21" fillId="57" borderId="0" xfId="0" applyNumberFormat="1" applyFont="1" applyFill="1" applyAlignment="1">
      <alignment horizontal="left"/>
    </xf>
    <xf numFmtId="175" fontId="40" fillId="57" borderId="0" xfId="0" applyNumberFormat="1" applyFont="1" applyFill="1" applyAlignment="1">
      <alignment horizontal="left"/>
    </xf>
    <xf numFmtId="0" fontId="20" fillId="0" borderId="0" xfId="0" applyFont="1"/>
    <xf numFmtId="0" fontId="21" fillId="3" borderId="0" xfId="0" applyFont="1" applyFill="1" applyAlignment="1">
      <alignment horizontal="center"/>
    </xf>
    <xf numFmtId="0" fontId="12" fillId="0" borderId="0" xfId="17" applyFont="1" applyAlignment="1">
      <alignment horizontal="center" vertical="center"/>
    </xf>
    <xf numFmtId="0" fontId="20" fillId="0" borderId="58" xfId="0" applyFont="1" applyBorder="1" applyAlignment="1">
      <alignment horizontal="center" vertical="center"/>
    </xf>
    <xf numFmtId="0" fontId="20" fillId="0" borderId="103" xfId="0" applyFont="1" applyBorder="1" applyAlignment="1">
      <alignment horizontal="center" vertical="center"/>
    </xf>
    <xf numFmtId="0" fontId="20" fillId="0" borderId="57" xfId="0" applyFont="1" applyBorder="1" applyAlignment="1">
      <alignment horizontal="center" vertical="center"/>
    </xf>
    <xf numFmtId="0" fontId="20" fillId="0" borderId="54" xfId="0" applyFont="1" applyBorder="1" applyAlignment="1">
      <alignment horizontal="center" vertical="center"/>
    </xf>
    <xf numFmtId="0" fontId="20" fillId="0" borderId="0" xfId="0" applyFont="1" applyAlignment="1">
      <alignment horizontal="center" vertical="center"/>
    </xf>
    <xf numFmtId="0" fontId="0" fillId="0" borderId="58" xfId="0" applyBorder="1" applyAlignment="1">
      <alignment horizontal="center" vertical="center"/>
    </xf>
    <xf numFmtId="2" fontId="1" fillId="0" borderId="103" xfId="17" applyNumberFormat="1" applyFont="1" applyBorder="1" applyAlignment="1">
      <alignment horizontal="center" vertical="center"/>
    </xf>
    <xf numFmtId="2" fontId="1" fillId="0" borderId="57" xfId="17" applyNumberFormat="1" applyFont="1" applyBorder="1" applyAlignment="1">
      <alignment horizontal="center" vertical="center"/>
    </xf>
    <xf numFmtId="2" fontId="1" fillId="0" borderId="54" xfId="17" applyNumberFormat="1" applyFont="1" applyBorder="1" applyAlignment="1">
      <alignment horizontal="center" vertical="center"/>
    </xf>
    <xf numFmtId="0" fontId="3" fillId="0" borderId="0" xfId="0" applyFont="1" applyAlignment="1">
      <alignment horizontal="left"/>
    </xf>
    <xf numFmtId="0" fontId="20" fillId="0" borderId="25" xfId="0" applyFont="1" applyBorder="1"/>
    <xf numFmtId="0" fontId="22" fillId="0" borderId="0" xfId="0" applyFont="1" applyAlignment="1">
      <alignment horizontal="left"/>
    </xf>
    <xf numFmtId="0" fontId="0" fillId="0" borderId="0" xfId="0" applyAlignment="1">
      <alignment horizontal="center" vertical="center" wrapText="1"/>
    </xf>
    <xf numFmtId="0" fontId="4" fillId="0" borderId="0" xfId="290" applyBorder="1" applyAlignment="1">
      <alignment horizontal="center" vertical="center"/>
    </xf>
    <xf numFmtId="0" fontId="20" fillId="0" borderId="0" xfId="0" applyFont="1" applyAlignment="1">
      <alignment horizontal="center" vertical="center" wrapText="1"/>
    </xf>
    <xf numFmtId="174" fontId="1" fillId="0" borderId="58" xfId="17" applyNumberFormat="1" applyFont="1" applyBorder="1" applyAlignment="1">
      <alignment horizontal="center" vertical="center"/>
    </xf>
    <xf numFmtId="0" fontId="100" fillId="61" borderId="94" xfId="0" applyFont="1" applyFill="1" applyBorder="1" applyAlignment="1">
      <alignment horizontal="center" vertical="center" wrapText="1"/>
    </xf>
    <xf numFmtId="0" fontId="100" fillId="61" borderId="99" xfId="0" applyFont="1" applyFill="1" applyBorder="1" applyAlignment="1">
      <alignment horizontal="center" vertical="center" wrapText="1"/>
    </xf>
    <xf numFmtId="0" fontId="76" fillId="0" borderId="17" xfId="0" applyFont="1" applyBorder="1" applyAlignment="1">
      <alignment horizontal="center" vertical="center"/>
    </xf>
    <xf numFmtId="0" fontId="76" fillId="0" borderId="10" xfId="0" applyFont="1" applyBorder="1" applyAlignment="1">
      <alignment horizontal="center" vertical="center"/>
    </xf>
    <xf numFmtId="0" fontId="76" fillId="0" borderId="11" xfId="0" applyFont="1" applyBorder="1" applyAlignment="1">
      <alignment horizontal="center" vertical="center"/>
    </xf>
    <xf numFmtId="0" fontId="76" fillId="0" borderId="61" xfId="0" applyFont="1" applyBorder="1" applyAlignment="1">
      <alignment horizontal="center" vertical="center"/>
    </xf>
    <xf numFmtId="0" fontId="76" fillId="0" borderId="13" xfId="0" applyFont="1" applyBorder="1" applyAlignment="1">
      <alignment horizontal="center" vertical="center"/>
    </xf>
    <xf numFmtId="0" fontId="76" fillId="0" borderId="64" xfId="0" applyFont="1" applyBorder="1" applyAlignment="1">
      <alignment horizontal="center" vertical="center"/>
    </xf>
    <xf numFmtId="0" fontId="98" fillId="0" borderId="60" xfId="0" applyFont="1" applyBorder="1" applyAlignment="1">
      <alignment horizontal="center" vertical="center" wrapText="1"/>
    </xf>
    <xf numFmtId="0" fontId="98" fillId="0" borderId="97" xfId="0" applyFont="1" applyBorder="1" applyAlignment="1">
      <alignment horizontal="center" vertical="center" wrapText="1"/>
    </xf>
    <xf numFmtId="0" fontId="100" fillId="61" borderId="93" xfId="0" applyFont="1" applyFill="1" applyBorder="1" applyAlignment="1">
      <alignment horizontal="center" vertical="center"/>
    </xf>
    <xf numFmtId="0" fontId="100" fillId="61" borderId="98" xfId="0" applyFont="1" applyFill="1" applyBorder="1" applyAlignment="1">
      <alignment horizontal="center" vertical="center"/>
    </xf>
    <xf numFmtId="185" fontId="0" fillId="0" borderId="15" xfId="0" applyNumberFormat="1" applyBorder="1" applyAlignment="1">
      <alignment horizontal="center" vertical="center"/>
    </xf>
    <xf numFmtId="185" fontId="0" fillId="0" borderId="26" xfId="0" applyNumberFormat="1" applyBorder="1" applyAlignment="1">
      <alignment horizontal="center" vertical="center"/>
    </xf>
    <xf numFmtId="171" fontId="0" fillId="0" borderId="15" xfId="0" applyNumberFormat="1" applyBorder="1" applyAlignment="1">
      <alignment horizontal="center"/>
    </xf>
    <xf numFmtId="171" fontId="0" fillId="0" borderId="26" xfId="0" applyNumberFormat="1" applyBorder="1" applyAlignment="1">
      <alignment horizontal="center"/>
    </xf>
    <xf numFmtId="0" fontId="0" fillId="0" borderId="15" xfId="0" applyBorder="1" applyAlignment="1">
      <alignment horizontal="center"/>
    </xf>
    <xf numFmtId="0" fontId="0" fillId="0" borderId="26" xfId="0" applyBorder="1" applyAlignment="1">
      <alignment horizontal="center"/>
    </xf>
    <xf numFmtId="9" fontId="0" fillId="0" borderId="15" xfId="0" applyNumberFormat="1" applyBorder="1" applyAlignment="1">
      <alignment horizontal="center"/>
    </xf>
    <xf numFmtId="9" fontId="0" fillId="0" borderId="26" xfId="0" applyNumberFormat="1" applyBorder="1" applyAlignment="1">
      <alignment horizontal="center"/>
    </xf>
    <xf numFmtId="0" fontId="0" fillId="0" borderId="60" xfId="0" applyBorder="1" applyAlignment="1">
      <alignment horizontal="center" wrapText="1"/>
    </xf>
    <xf numFmtId="0" fontId="0" fillId="0" borderId="8" xfId="0" applyBorder="1" applyAlignment="1">
      <alignment horizontal="center" wrapText="1"/>
    </xf>
    <xf numFmtId="0" fontId="0" fillId="0" borderId="61" xfId="0" applyBorder="1" applyAlignment="1">
      <alignment horizontal="center" wrapText="1"/>
    </xf>
    <xf numFmtId="0" fontId="0" fillId="0" borderId="62" xfId="0" applyBorder="1" applyAlignment="1">
      <alignment horizontal="center" wrapText="1"/>
    </xf>
    <xf numFmtId="0" fontId="90" fillId="83" borderId="48" xfId="0" applyFont="1" applyFill="1" applyBorder="1" applyAlignment="1">
      <alignment horizontal="center"/>
    </xf>
    <xf numFmtId="0" fontId="90" fillId="83" borderId="47" xfId="0" applyFont="1" applyFill="1" applyBorder="1" applyAlignment="1">
      <alignment horizontal="center"/>
    </xf>
    <xf numFmtId="0" fontId="38" fillId="0" borderId="0" xfId="311" applyFont="1" applyFill="1" applyBorder="1" applyAlignment="1">
      <alignment horizontal="center"/>
    </xf>
    <xf numFmtId="0" fontId="126" fillId="0" borderId="0" xfId="0" applyFont="1" applyAlignment="1">
      <alignment horizontal="center"/>
    </xf>
    <xf numFmtId="0" fontId="114" fillId="0" borderId="0" xfId="189" applyFont="1"/>
    <xf numFmtId="0" fontId="75" fillId="0" borderId="0" xfId="189"/>
    <xf numFmtId="0" fontId="115" fillId="0" borderId="0" xfId="189" applyFont="1"/>
    <xf numFmtId="0" fontId="0" fillId="0" borderId="0" xfId="0" applyAlignment="1">
      <alignment horizontal="left" wrapText="1"/>
    </xf>
    <xf numFmtId="0" fontId="9" fillId="0" borderId="0" xfId="0" applyFont="1" applyAlignment="1">
      <alignment horizontal="left" wrapText="1"/>
    </xf>
    <xf numFmtId="0" fontId="9" fillId="0" borderId="0" xfId="0" applyFont="1" applyAlignment="1">
      <alignment horizontal="left" vertical="top" wrapText="1"/>
    </xf>
    <xf numFmtId="0" fontId="3" fillId="2" borderId="12"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9" fillId="0" borderId="0" xfId="0" applyFont="1" applyAlignment="1">
      <alignment horizontal="left"/>
    </xf>
    <xf numFmtId="0" fontId="9" fillId="0" borderId="0" xfId="0" applyFont="1" applyAlignment="1">
      <alignment horizontal="left" vertical="center" wrapText="1"/>
    </xf>
    <xf numFmtId="0" fontId="1" fillId="0" borderId="0" xfId="291" applyFont="1" applyAlignment="1">
      <alignment horizontal="left" vertical="center" wrapText="1"/>
    </xf>
    <xf numFmtId="0" fontId="39" fillId="0" borderId="0" xfId="291" applyAlignment="1">
      <alignment horizontal="left" vertical="center" wrapText="1"/>
    </xf>
    <xf numFmtId="0" fontId="3" fillId="2" borderId="17" xfId="291" applyFont="1" applyFill="1" applyBorder="1" applyAlignment="1">
      <alignment horizontal="center" vertical="center" wrapText="1"/>
    </xf>
    <xf numFmtId="0" fontId="3" fillId="2" borderId="53" xfId="291" applyFont="1" applyFill="1" applyBorder="1" applyAlignment="1">
      <alignment horizontal="center" vertical="center" wrapText="1"/>
    </xf>
    <xf numFmtId="0" fontId="3" fillId="2" borderId="12" xfId="291" applyFont="1" applyFill="1" applyBorder="1" applyAlignment="1">
      <alignment horizontal="center" vertical="center" wrapText="1"/>
    </xf>
    <xf numFmtId="0" fontId="3" fillId="2" borderId="18" xfId="291" applyFont="1" applyFill="1" applyBorder="1" applyAlignment="1">
      <alignment horizontal="center" vertical="center" wrapText="1"/>
    </xf>
    <xf numFmtId="0" fontId="3" fillId="2" borderId="19" xfId="291" applyFont="1" applyFill="1" applyBorder="1" applyAlignment="1">
      <alignment horizontal="center" vertical="center" wrapText="1"/>
    </xf>
    <xf numFmtId="0" fontId="3" fillId="2" borderId="48" xfId="291" applyFont="1" applyFill="1" applyBorder="1" applyAlignment="1">
      <alignment horizontal="center" vertical="center" wrapText="1"/>
    </xf>
    <xf numFmtId="0" fontId="3" fillId="2" borderId="4" xfId="291" applyFont="1" applyFill="1" applyBorder="1" applyAlignment="1">
      <alignment horizontal="center" vertical="center" wrapText="1"/>
    </xf>
    <xf numFmtId="0" fontId="3" fillId="2" borderId="52" xfId="291" applyFont="1" applyFill="1" applyBorder="1" applyAlignment="1">
      <alignment horizontal="center" vertical="center" wrapText="1"/>
    </xf>
    <xf numFmtId="0" fontId="3" fillId="2" borderId="14" xfId="291" applyFont="1" applyFill="1" applyBorder="1" applyAlignment="1">
      <alignment horizontal="center" vertical="center" wrapText="1"/>
    </xf>
    <xf numFmtId="0" fontId="3" fillId="2" borderId="47" xfId="291" applyFont="1" applyFill="1" applyBorder="1" applyAlignment="1">
      <alignment horizontal="center" vertical="center" wrapText="1"/>
    </xf>
    <xf numFmtId="0" fontId="3" fillId="2" borderId="9" xfId="291" applyFont="1" applyFill="1" applyBorder="1" applyAlignment="1">
      <alignment horizontal="center" vertical="center" wrapText="1"/>
    </xf>
    <xf numFmtId="0" fontId="0" fillId="0" borderId="0" xfId="291" applyFont="1" applyAlignment="1">
      <alignment horizontal="left" wrapText="1"/>
    </xf>
    <xf numFmtId="0" fontId="12" fillId="0" borderId="0" xfId="291" applyFont="1" applyAlignment="1">
      <alignment horizontal="left" wrapText="1"/>
    </xf>
    <xf numFmtId="0" fontId="12" fillId="0" borderId="0" xfId="291" applyFont="1" applyAlignment="1">
      <alignment horizontal="left" vertical="center" wrapText="1"/>
    </xf>
    <xf numFmtId="0" fontId="0" fillId="0" borderId="0" xfId="0" applyAlignment="1">
      <alignment horizontal="left" vertical="center" wrapText="1"/>
    </xf>
    <xf numFmtId="9" fontId="0" fillId="0" borderId="49" xfId="7" applyFont="1" applyBorder="1" applyAlignment="1">
      <alignment horizontal="center" wrapText="1"/>
    </xf>
    <xf numFmtId="9" fontId="0" fillId="0" borderId="44" xfId="7" applyFont="1" applyBorder="1" applyAlignment="1">
      <alignment horizontal="center" wrapText="1"/>
    </xf>
    <xf numFmtId="0" fontId="3" fillId="2" borderId="49" xfId="0" applyFont="1" applyFill="1" applyBorder="1" applyAlignment="1">
      <alignment horizontal="center" vertical="center" wrapText="1"/>
    </xf>
  </cellXfs>
  <cellStyles count="312">
    <cellStyle name="20% - Accent1 2" xfId="18" xr:uid="{016C6F6F-9112-484E-BC67-AAF1466FE3B8}"/>
    <cellStyle name="20% - Accent2 2" xfId="19" xr:uid="{C26D0B26-847F-43DE-9794-EDFFFC6E1659}"/>
    <cellStyle name="20% - Accent3 2" xfId="20" xr:uid="{3F2B694B-DA62-499D-AA4C-2418EA08DA70}"/>
    <cellStyle name="20% - Accent4 2" xfId="21" xr:uid="{445FC537-51D4-457F-B33A-49D73FC039A7}"/>
    <cellStyle name="20% - Accent5 2" xfId="22" xr:uid="{B3A8A053-DFE8-4113-937F-9D39CBDC0285}"/>
    <cellStyle name="20% - Accent6 2" xfId="23" xr:uid="{9EA1EA5A-4250-47CC-BE34-037D3B48A4AE}"/>
    <cellStyle name="20% - Accent6 3" xfId="24" xr:uid="{E8CFA4B7-39EB-4206-A4B8-7D639D00181B}"/>
    <cellStyle name="40% - Accent1 2" xfId="25" xr:uid="{D7DAD0A8-77EC-4AFB-84F9-E6FD67186015}"/>
    <cellStyle name="40% - Accent2 2" xfId="26" xr:uid="{4714242B-CDA9-4B0E-8654-D237321ECC5D}"/>
    <cellStyle name="40% - Accent2 2 2" xfId="27" xr:uid="{F7C92E76-8D86-4703-8E86-001B7FCDC74F}"/>
    <cellStyle name="40% - Accent2 2 3" xfId="28" xr:uid="{C891191D-C8BE-417A-9100-6A89B4D3E6BD}"/>
    <cellStyle name="40% - Accent2 2 4" xfId="29" xr:uid="{EE12C670-4696-469C-A98B-4CF00A0B7DB3}"/>
    <cellStyle name="40% - Accent3 2" xfId="30" xr:uid="{9DBC974B-6CE4-48FC-9DA2-DCCE6F0BAE69}"/>
    <cellStyle name="40% - Accent4 2" xfId="31" xr:uid="{A1627F17-CF6E-4320-A703-478A422402F2}"/>
    <cellStyle name="40% - Accent5 2" xfId="32" xr:uid="{A218B320-3EEC-4336-A0D1-9574EB45D2B0}"/>
    <cellStyle name="40% - Accent6 2" xfId="33" xr:uid="{BA6208B6-4ED3-4399-8F31-74561E8A8334}"/>
    <cellStyle name="508Table-Start" xfId="34" xr:uid="{3CD61AD6-51C1-466F-92B0-1503359C6583}"/>
    <cellStyle name="508Table-Stop" xfId="35" xr:uid="{ABC92D1F-34D6-424E-8423-E0DFF520F5BC}"/>
    <cellStyle name="60% - Accent1 2" xfId="36" xr:uid="{E9812A04-E978-4744-AA9E-45C298097E57}"/>
    <cellStyle name="60% - Accent2 2" xfId="37" xr:uid="{4EEFCF47-D710-490D-A875-8C09E1806AA3}"/>
    <cellStyle name="60% - Accent3 2" xfId="38" xr:uid="{26E522D5-5918-4C97-9713-1A06ED0FA54C}"/>
    <cellStyle name="60% - Accent4 2" xfId="39" xr:uid="{2521A2E0-1697-4D1F-8D14-3770E638D53A}"/>
    <cellStyle name="60% - Accent5 2" xfId="40" xr:uid="{A7EAEFB2-7449-43B3-8485-62B384521B82}"/>
    <cellStyle name="60% - Accent6 2" xfId="41" xr:uid="{A4C2B51C-D5DB-4311-95CC-5AB667F28D1A}"/>
    <cellStyle name="Accent1 2" xfId="42" xr:uid="{8688B439-AF16-4B0C-9160-916E973F42F4}"/>
    <cellStyle name="Accent1 2 2" xfId="43" xr:uid="{77167771-08A1-4F81-BA76-30B0C5796068}"/>
    <cellStyle name="Accent1 2 3" xfId="44" xr:uid="{53DCC5E8-FAA7-453B-A50D-61B32674E084}"/>
    <cellStyle name="Accent1 2 4" xfId="45" xr:uid="{7D0C636E-C289-477D-A596-75FC9D7C34DB}"/>
    <cellStyle name="Accent1 2 5" xfId="46" xr:uid="{126BBA50-CE28-4B95-BD6A-ABD0563F6022}"/>
    <cellStyle name="Accent1 2 6" xfId="47" xr:uid="{6E61109A-4463-464D-809C-3DCE279A6471}"/>
    <cellStyle name="Accent1 3" xfId="48" xr:uid="{B3A8A8BF-9840-4053-9125-05D0237165BE}"/>
    <cellStyle name="Accent1 4" xfId="49" xr:uid="{1973E84B-91C3-4918-9971-50D8FC3FDACF}"/>
    <cellStyle name="Accent2 2" xfId="50" xr:uid="{C30F88C3-C3B3-480E-B5B9-C86372232611}"/>
    <cellStyle name="Accent2 2 2" xfId="51" xr:uid="{C96A688A-C9C3-45DF-A25C-005E3B095A94}"/>
    <cellStyle name="Accent2 2 3" xfId="52" xr:uid="{C83CA98A-902F-4A92-A1A6-EBECD9F77BA5}"/>
    <cellStyle name="Accent2 2 4" xfId="53" xr:uid="{BC85F4EF-B512-45D1-A9C9-D29F888288E4}"/>
    <cellStyle name="Accent2 2 5" xfId="54" xr:uid="{82E6229A-C3A5-475B-8466-CCA0E52CCB1A}"/>
    <cellStyle name="Accent2 3" xfId="55" xr:uid="{8450D835-09FA-49BC-8F95-1A503E3A37FC}"/>
    <cellStyle name="Accent2 4" xfId="56" xr:uid="{FD3385C7-1BC6-4339-B70E-D7B5E1B83663}"/>
    <cellStyle name="Accent2 5" xfId="57" xr:uid="{0BDBDD5B-66BF-4A47-98F7-DFB6E473EE65}"/>
    <cellStyle name="Accent3 2" xfId="58" xr:uid="{5A0435EF-7844-4DAE-8193-67ED86B5F445}"/>
    <cellStyle name="Accent3 2 2" xfId="59" xr:uid="{D23EB42A-F0EB-4B14-8464-281585E98519}"/>
    <cellStyle name="Accent3 2 3" xfId="60" xr:uid="{21E50B6F-D055-4E54-AA04-A39A8E1758BB}"/>
    <cellStyle name="Accent3 2 4" xfId="61" xr:uid="{02F85426-7C98-45B9-8AD5-61300CC1D275}"/>
    <cellStyle name="Accent3 3" xfId="62" xr:uid="{1B466471-AAAD-4D69-84A4-BA0F3CA9AAE4}"/>
    <cellStyle name="Accent3 4" xfId="63" xr:uid="{4B3B450C-FDAE-49BE-8855-5656D383C6F3}"/>
    <cellStyle name="Accent4 2" xfId="64" xr:uid="{30C34E6A-B93B-4EA3-BEE7-0DEE5AC4C7A8}"/>
    <cellStyle name="Accent4 2 2" xfId="65" xr:uid="{DCE307FD-717D-4947-9FA0-C0DC3FB2A7F8}"/>
    <cellStyle name="Accent4 2 3" xfId="66" xr:uid="{B59129CD-1F51-4ECE-A6DF-8F672763416C}"/>
    <cellStyle name="Accent4 2 4" xfId="67" xr:uid="{B5C0009E-D846-4C89-A5AB-A7F9C97B2831}"/>
    <cellStyle name="Accent5 2" xfId="68" xr:uid="{EFBFCC7C-2941-482F-B533-EC12945AF9DA}"/>
    <cellStyle name="Accent6 2" xfId="69" xr:uid="{22909A05-9BAB-419E-83D4-54545A00ACC7}"/>
    <cellStyle name="Arial 11" xfId="70" xr:uid="{96E8EE15-F9B4-4149-9C9E-9769B84EF0CB}"/>
    <cellStyle name="Bad" xfId="311" builtinId="27"/>
    <cellStyle name="Bad 2" xfId="71" xr:uid="{5C62AEDB-7FD5-46F7-8593-5807BB39A198}"/>
    <cellStyle name="Bad 3" xfId="72" xr:uid="{CB333A34-693E-47C0-A784-CB25C93FEA38}"/>
    <cellStyle name="Body: normal cell" xfId="73" xr:uid="{6275F99A-197C-4E30-82FB-EE1A21709548}"/>
    <cellStyle name="Calculation 2" xfId="74" xr:uid="{4DAE637C-A5C1-4A78-92D5-D7EBF5021C73}"/>
    <cellStyle name="Calculation 2 2" xfId="75" xr:uid="{AC5486D0-7FCE-4FD4-81C5-F48DD00CAD8C}"/>
    <cellStyle name="Calculation 3" xfId="76" xr:uid="{BCD47C35-A662-4CB4-9E8C-9A0DE1E53AC1}"/>
    <cellStyle name="Calculation 4" xfId="77" xr:uid="{B50C68E5-3E78-49F0-9968-FB92CBAD55C5}"/>
    <cellStyle name="Check Cell 2" xfId="78" xr:uid="{D1820F14-61B0-4202-B156-4A2178814582}"/>
    <cellStyle name="CHlevel1" xfId="79" xr:uid="{B6E5AB6F-4AD0-48C2-9178-FDF744711626}"/>
    <cellStyle name="CHlevel2" xfId="80" xr:uid="{CC470F91-8FA8-41E3-ABC2-C49540351913}"/>
    <cellStyle name="CHlevel3" xfId="81" xr:uid="{368A076D-B0A3-44E0-A72F-7BE96EF21315}"/>
    <cellStyle name="CHlevel4" xfId="82" xr:uid="{5018A16B-648C-464F-AEDA-3B15781F9DA7}"/>
    <cellStyle name="Column heading" xfId="83" xr:uid="{301A551D-E121-43AF-ABD4-01528663608D}"/>
    <cellStyle name="Comma" xfId="5" builtinId="3"/>
    <cellStyle name="Comma 2" xfId="9" xr:uid="{76986586-ADF2-4891-AC37-08F2920B8F5D}"/>
    <cellStyle name="Comma 2 2" xfId="84" xr:uid="{0384042E-3811-4F81-ADE5-57D772C32A2A}"/>
    <cellStyle name="Comma 2 3" xfId="85" xr:uid="{E90C4569-1387-4B12-9D72-A547573F1F47}"/>
    <cellStyle name="Comma 2 4" xfId="288" xr:uid="{460D577A-3EE0-40F3-A071-E664EFC7A34A}"/>
    <cellStyle name="Comma 3" xfId="13" xr:uid="{FDBF942C-BE29-490F-9D0A-D41B81A57657}"/>
    <cellStyle name="Comma 3 2" xfId="86" xr:uid="{97E0E078-FB84-432D-8AE7-F97D61EEC4A4}"/>
    <cellStyle name="Comma 4" xfId="87" xr:uid="{E4CD43D2-C1A1-4FA2-ADB1-42F4C729DFB1}"/>
    <cellStyle name="Comma 4 2" xfId="88" xr:uid="{B7512EE9-E6B1-4376-83AA-E89E49DD8E63}"/>
    <cellStyle name="Comma 5" xfId="89" xr:uid="{6C880508-2CD8-4174-8A8A-E52A1F62F95A}"/>
    <cellStyle name="Comma 6" xfId="90" xr:uid="{1EB93154-EBAD-43A7-B266-10921730F40B}"/>
    <cellStyle name="Comma 7" xfId="91" xr:uid="{11B6AE47-409C-4038-9D6C-05BE7893D061}"/>
    <cellStyle name="Comma0" xfId="92" xr:uid="{02389C00-D386-423D-AF52-8AAAEFA3B26C}"/>
    <cellStyle name="Corner heading" xfId="93" xr:uid="{58232B22-A64B-4A85-A743-AFCA641CEEDE}"/>
    <cellStyle name="Currency" xfId="6" builtinId="4"/>
    <cellStyle name="Currency 2" xfId="11" xr:uid="{1BF98E91-3DC9-412E-BDB9-AD9B9055B2D1}"/>
    <cellStyle name="Currency 2 2" xfId="94" xr:uid="{A8C6EF70-E37A-44FC-A674-D00DE1FE10D1}"/>
    <cellStyle name="Currency 2 2 2" xfId="95" xr:uid="{BD5DA971-6F34-478A-95B9-B3EDBC330FFF}"/>
    <cellStyle name="Currency 2 3" xfId="96" xr:uid="{934AF03A-3549-458C-9C51-E75961B901A1}"/>
    <cellStyle name="Currency 3" xfId="15" xr:uid="{EE8F8A9E-A2DF-4EF0-9E10-CB4921D2DAA7}"/>
    <cellStyle name="Currency 4" xfId="97" xr:uid="{66D219A3-9E73-46E6-A753-37EF2C7F0DAB}"/>
    <cellStyle name="Currency 5" xfId="98" xr:uid="{2FFC2AAD-4E2C-4FB6-92CC-E1224A96F5DF}"/>
    <cellStyle name="Currency 6" xfId="99" xr:uid="{0D517B59-1F10-432D-A63C-7DA7CCA87E3C}"/>
    <cellStyle name="Currency 7" xfId="100" xr:uid="{3F99DF8C-14C5-4768-834E-FAD3B82B2CFE}"/>
    <cellStyle name="Currency0" xfId="101" xr:uid="{FD8342F9-0C09-4A8E-88AA-2A6A347EC6C6}"/>
    <cellStyle name="Data" xfId="102" xr:uid="{AC3B134B-8982-4427-BBB6-2534B081AF06}"/>
    <cellStyle name="Data 2" xfId="103" xr:uid="{970F5622-D334-4690-9158-6457E7008B2C}"/>
    <cellStyle name="Data 2 2" xfId="299" xr:uid="{F5081480-A899-43AD-B826-0936960B6676}"/>
    <cellStyle name="Data 3" xfId="298" xr:uid="{4C9068BA-331A-48CB-AF53-4F6F16BF62E7}"/>
    <cellStyle name="Data no deci" xfId="104" xr:uid="{7B6AA4BE-1898-445F-A603-D9C27BC4827D}"/>
    <cellStyle name="Data no deci 2" xfId="300" xr:uid="{46380924-2F98-4E3A-AA78-F75E8D8AC4FF}"/>
    <cellStyle name="Data Superscript" xfId="105" xr:uid="{F15CDCFD-1820-4055-8FF3-884D49D198F2}"/>
    <cellStyle name="Data Superscript 2" xfId="301" xr:uid="{97310497-C855-430B-A79D-3629E6ADA5CE}"/>
    <cellStyle name="Data_1-1A-Regular" xfId="106" xr:uid="{D2E9F620-78F5-49B0-B8C2-0A638537BB7A}"/>
    <cellStyle name="Data-one deci" xfId="107" xr:uid="{CBA605E4-778F-48C9-A81B-50ECD0EA0141}"/>
    <cellStyle name="Data-one deci 2" xfId="302" xr:uid="{1619F068-F71D-4351-81D7-C37993CD6A5E}"/>
    <cellStyle name="Date" xfId="108" xr:uid="{959633A9-0133-4827-9BCE-A9ED8921813B}"/>
    <cellStyle name="Explanatory Text 2" xfId="109" xr:uid="{493AE758-05A1-45CF-9CD4-BF8AD0626617}"/>
    <cellStyle name="Fixed" xfId="110" xr:uid="{99EE33AC-7577-4D5B-A5D2-A48911BEE3B7}"/>
    <cellStyle name="Good 2" xfId="111" xr:uid="{2691E59F-7873-46E9-BD51-9CABAC5BCBC2}"/>
    <cellStyle name="Grey" xfId="112" xr:uid="{4C873E3A-F338-404D-B231-8C73A4B51839}"/>
    <cellStyle name="Heading 1 2" xfId="113" xr:uid="{D52E49EB-6207-4488-9C64-6713AAA6B6FE}"/>
    <cellStyle name="Heading 2 2" xfId="114" xr:uid="{4F25E632-F94C-48C1-A754-61D4E801EE76}"/>
    <cellStyle name="Heading 2 2 2" xfId="115" xr:uid="{324C77C4-6AB3-4B1A-8F3B-A0A9D047B93D}"/>
    <cellStyle name="Heading 2 3" xfId="116" xr:uid="{7A92514D-614C-46E7-A3E7-416100054CC1}"/>
    <cellStyle name="Heading 2 4" xfId="117" xr:uid="{6C8B335D-CD2D-4557-A9E7-E188AA833C27}"/>
    <cellStyle name="Heading 3 2" xfId="118" xr:uid="{415C8922-99F8-40A5-B358-C8B7CEE012F7}"/>
    <cellStyle name="Heading 4 2" xfId="119" xr:uid="{9108C89A-1A7B-4B8B-B2BF-C5D1A222FB60}"/>
    <cellStyle name="Hed Side" xfId="120" xr:uid="{0AC9C525-0D49-4551-B79C-E8505CB1D249}"/>
    <cellStyle name="Hed Side 2" xfId="121" xr:uid="{8C8105DA-3E0A-4ABB-9142-AD9AA17B9F7E}"/>
    <cellStyle name="Hed Side 2 2" xfId="304" xr:uid="{B898888C-2CC3-404A-B3FD-24E15083BA33}"/>
    <cellStyle name="Hed Side 3" xfId="303" xr:uid="{44B2A098-19E5-4531-A2E9-5C7F1B156436}"/>
    <cellStyle name="Hed Side bold" xfId="122" xr:uid="{91E8A8DB-B41D-4EA8-AF75-B6FDB4D40F56}"/>
    <cellStyle name="Hed Side Indent" xfId="123" xr:uid="{B2A263DF-101B-4B69-8BDA-00F4183115C8}"/>
    <cellStyle name="Hed Side Indent 2" xfId="305" xr:uid="{D515A885-1E69-463A-A98F-FC362842DAEB}"/>
    <cellStyle name="Hed Side Regular" xfId="124" xr:uid="{88C1D72B-F575-4BB8-8BF8-70E040BF5940}"/>
    <cellStyle name="Hed Side Regular 2" xfId="306" xr:uid="{80AA83E9-3C55-4455-99D3-9B552434CF15}"/>
    <cellStyle name="Hed Side_1-1A-Regular" xfId="125" xr:uid="{D9548B16-FE50-4045-A0CB-5CDC21233A42}"/>
    <cellStyle name="Hed Top" xfId="126" xr:uid="{20EF6134-C7A2-4244-AFA8-C6A34C9A433B}"/>
    <cellStyle name="Hed Top - SECTION" xfId="127" xr:uid="{EF329ED1-0CBB-41E2-B3BC-A8928A0F1352}"/>
    <cellStyle name="Hed Top - SECTION 2" xfId="307" xr:uid="{2E0F1DC0-4868-4327-8A0D-9EED0C831D16}"/>
    <cellStyle name="Hed Top 2" xfId="128" xr:uid="{7B2D0890-8A4D-40E0-9050-51A85DEF891A}"/>
    <cellStyle name="Hed Top_3-new4" xfId="129" xr:uid="{1DAC585F-5C88-46CA-8CCB-19D1A77806C7}"/>
    <cellStyle name="Hyperlink" xfId="290" builtinId="8"/>
    <cellStyle name="Hyperlink 2" xfId="2" xr:uid="{4F18F08D-1A5A-46DE-BDCA-290E444A9DEE}"/>
    <cellStyle name="Hyperlink 2 2" xfId="131" xr:uid="{D54D6C9E-F03E-42CE-B810-D7823623047E}"/>
    <cellStyle name="Hyperlink 2 2 2" xfId="297" xr:uid="{B7EBF549-1C6A-45A0-A0F5-893944FF24F7}"/>
    <cellStyle name="Hyperlink 2 3" xfId="130" xr:uid="{ACD9B19E-BACD-4C9E-8C13-1F4E674930BE}"/>
    <cellStyle name="Hyperlink 3" xfId="4" xr:uid="{8349A1DA-69DF-454F-B2C1-5DA942119F0D}"/>
    <cellStyle name="Hyperlink 3 2" xfId="132" xr:uid="{50DC8D71-F34A-4066-8D76-B1E767C8647B}"/>
    <cellStyle name="Hyperlink 3 2 2" xfId="295" xr:uid="{8ABAFC71-8442-47C7-A2E6-07EC24D9B5D8}"/>
    <cellStyle name="Hyperlink 4" xfId="133" xr:uid="{FDAB972D-0CDF-4E27-9BE3-38A4DA8CBD87}"/>
    <cellStyle name="Hyperlink 4 2" xfId="296" xr:uid="{8971EBAA-444D-4C0B-BBC1-B17A50359214}"/>
    <cellStyle name="Input [yellow]" xfId="134" xr:uid="{2D6EC260-C1B5-4067-A1AF-22979DB40224}"/>
    <cellStyle name="Input 10" xfId="135" xr:uid="{48167BB9-E56D-4CF3-96E6-256DD44448AE}"/>
    <cellStyle name="Input 11" xfId="136" xr:uid="{151A22D0-C3A7-445D-BAB5-1960218C12F0}"/>
    <cellStyle name="Input 12" xfId="137" xr:uid="{301D1C4D-E368-47B5-A171-F1C0508E35BE}"/>
    <cellStyle name="Input 13" xfId="138" xr:uid="{3BB48EE1-A806-4054-8B76-11D83BF9ECB8}"/>
    <cellStyle name="Input 14" xfId="139" xr:uid="{014471A2-9035-4080-B53A-CE2306DDCB8B}"/>
    <cellStyle name="Input 15" xfId="140" xr:uid="{16D188D6-EE40-4BBF-B453-964080AC210B}"/>
    <cellStyle name="Input 2" xfId="141" xr:uid="{5276D3BE-C1D6-4C88-87A3-C4F0ED43882E}"/>
    <cellStyle name="Input 2 2" xfId="142" xr:uid="{1E762CC1-5C69-4E85-B408-B266B0F04B9B}"/>
    <cellStyle name="Input 2 3" xfId="143" xr:uid="{398533F3-127E-4369-90AB-A89E9E037731}"/>
    <cellStyle name="Input 2 4" xfId="144" xr:uid="{163A9E0C-42E7-4FF9-AC84-475E6AE2F5AC}"/>
    <cellStyle name="Input 2 5" xfId="145" xr:uid="{B7ABB77F-DF25-4F5E-89BB-3F156260BD6B}"/>
    <cellStyle name="Input 2 6" xfId="146" xr:uid="{C52114E4-2C74-4CEC-8923-1C7C1DC86603}"/>
    <cellStyle name="Input 3" xfId="147" xr:uid="{869793DB-0204-4CD2-B927-04701CB950E1}"/>
    <cellStyle name="Input 4" xfId="148" xr:uid="{EC883C0B-5655-4B7A-9828-AFF4109D4039}"/>
    <cellStyle name="Input 5" xfId="149" xr:uid="{06C2F2E4-0E4E-4F4E-B3A3-C5AD9314A068}"/>
    <cellStyle name="Input 6" xfId="150" xr:uid="{BEAD2942-EA84-4EEE-BB0B-FF4B328AD1B7}"/>
    <cellStyle name="Input 7" xfId="151" xr:uid="{384A3862-04ED-4A2E-B754-63DF57DA7473}"/>
    <cellStyle name="Input 8" xfId="152" xr:uid="{7431805C-B4A3-4A4A-ABD3-C0A8828F36BE}"/>
    <cellStyle name="Input 9" xfId="153" xr:uid="{DBD8BF3E-ECA5-4AC8-A984-29BD63CE36FE}"/>
    <cellStyle name="Linked Cell 2" xfId="154" xr:uid="{9E256C3D-A96C-46A6-BEB1-120FF440A890}"/>
    <cellStyle name="Neutral 2" xfId="155" xr:uid="{6E927315-8B12-4FB1-A976-092C6DF54931}"/>
    <cellStyle name="Normal" xfId="0" builtinId="0"/>
    <cellStyle name="Normal - Style1" xfId="156" xr:uid="{A9C6C9C0-D7E7-4EDE-A2F7-9F88176C88E1}"/>
    <cellStyle name="Normal 10" xfId="157" xr:uid="{D1E62436-89B6-4DD9-9336-69441A83D5AB}"/>
    <cellStyle name="Normal 11" xfId="158" xr:uid="{FF763CC1-FB88-440D-A29B-13D9E37A3D9E}"/>
    <cellStyle name="Normal 12" xfId="159" xr:uid="{D5A703B6-A8ED-438B-8C51-7C88E8F745D1}"/>
    <cellStyle name="Normal 13" xfId="160" xr:uid="{00B71077-B4F1-484A-9C23-1C7895D4257C}"/>
    <cellStyle name="Normal 14" xfId="161" xr:uid="{F9C6F90C-70B8-4003-B49F-0183F0C3579E}"/>
    <cellStyle name="Normal 15" xfId="162" xr:uid="{574905A2-67CB-4C98-8706-DEC571FDC318}"/>
    <cellStyle name="Normal 16" xfId="163" xr:uid="{A48FD50D-EC4B-4D4C-844A-53B22DF57FCF}"/>
    <cellStyle name="Normal 17" xfId="164" xr:uid="{ED1D087A-E933-4277-9A07-7648DC80620E}"/>
    <cellStyle name="Normal 18" xfId="165" xr:uid="{08EAD62B-D36B-4FCD-959F-A1F22393FEA6}"/>
    <cellStyle name="Normal 19" xfId="166" xr:uid="{6C6076E7-8C50-460F-8A5F-9B0E59FAB96A}"/>
    <cellStyle name="Normal 2" xfId="1" xr:uid="{F38B284E-D291-4C05-9D59-4C540B918CDE}"/>
    <cellStyle name="Normal 2 2" xfId="17" xr:uid="{FC768E3F-503B-491B-A347-A46CB8EAB17A}"/>
    <cellStyle name="Normal 2 2 2" xfId="167" xr:uid="{04F3E728-C850-4C99-9998-0422DC1CBD74}"/>
    <cellStyle name="Normal 2 2 2 2" xfId="283" xr:uid="{B1CDC9BB-3B8B-4C07-AE32-519AF964D6B1}"/>
    <cellStyle name="Normal 2 2 4" xfId="291" xr:uid="{1B45C280-1A03-40E8-9886-3ED47868690D}"/>
    <cellStyle name="Normal 2 3" xfId="168" xr:uid="{DA420642-DC5B-4E78-91D7-C9A851539B60}"/>
    <cellStyle name="Normal 2 4" xfId="169" xr:uid="{034E5EE6-E739-417E-A005-CD12D4FEA8A6}"/>
    <cellStyle name="Normal 2 5" xfId="170" xr:uid="{AEF13C23-31F3-46DA-8ED8-D12F1903E347}"/>
    <cellStyle name="Normal 2 6" xfId="171" xr:uid="{53D4A57A-A718-4034-85FB-B9B864D46E04}"/>
    <cellStyle name="Normal 2 7" xfId="172" xr:uid="{F7925697-6D39-4B35-A85C-966FDAAB1CA5}"/>
    <cellStyle name="Normal 2 8" xfId="173" xr:uid="{6D30A53C-F359-454C-A3B6-33F43C053E1F}"/>
    <cellStyle name="Normal 2 9" xfId="292" xr:uid="{6FD25289-E87D-4E4F-B0B2-2A08D79A371B}"/>
    <cellStyle name="Normal 2_steeplechaseconcept4" xfId="174" xr:uid="{BB6C9258-5319-428F-87B9-F126597A1111}"/>
    <cellStyle name="Normal 20" xfId="175" xr:uid="{361A5AD2-0AC9-4AE8-A9F4-4D2966522CCF}"/>
    <cellStyle name="Normal 21" xfId="176" xr:uid="{2118CCDA-F277-4749-8A7C-CED1AE3F1886}"/>
    <cellStyle name="Normal 22" xfId="177" xr:uid="{76C4D47F-FD67-4CC5-9699-42E1C3B2BB02}"/>
    <cellStyle name="Normal 23" xfId="178" xr:uid="{924E4C63-B3E7-4909-B966-37CC9E093711}"/>
    <cellStyle name="Normal 24" xfId="179" xr:uid="{8C97F8FD-29AB-4D94-9F9B-47E4A8A664DF}"/>
    <cellStyle name="Normal 24 2" xfId="180" xr:uid="{CE7EF165-D84F-49B9-8666-3E96256BF7C6}"/>
    <cellStyle name="Normal 25" xfId="181" xr:uid="{7B386A2D-3B37-4331-8138-EAD97F6ADBFC}"/>
    <cellStyle name="Normal 26" xfId="182" xr:uid="{E26F3523-F6B1-4F1F-B581-30CAF849B9CD}"/>
    <cellStyle name="Normal 27" xfId="183" xr:uid="{FE5EBF82-B514-498A-B5DA-FF9D739A4850}"/>
    <cellStyle name="Normal 28" xfId="184" xr:uid="{6880D7DC-CE08-4BA5-926E-CFD6E937CAD4}"/>
    <cellStyle name="Normal 29" xfId="185" xr:uid="{BD29F46A-1DA0-48AB-86A8-2F290DFABCAD}"/>
    <cellStyle name="Normal 3" xfId="8" xr:uid="{4482CB3B-1F0F-4C29-A74E-40BAB4ED0855}"/>
    <cellStyle name="Normal 3 2" xfId="186" xr:uid="{DA8D9DF9-EA30-43FF-8066-C03947CB895D}"/>
    <cellStyle name="Normal 3 3" xfId="187" xr:uid="{2BCBE0E3-B443-44FC-9D6D-60AAB2AED40D}"/>
    <cellStyle name="Normal 3 4" xfId="188" xr:uid="{6748685E-B51F-4FCF-B6BA-A909AC7200F4}"/>
    <cellStyle name="Normal 3 5" xfId="189" xr:uid="{49F55BC6-6D3E-49F8-8DAD-0A6993282A1E}"/>
    <cellStyle name="Normal 3 6" xfId="284" xr:uid="{FE4A3BB2-2243-41CA-A662-0D73824608BB}"/>
    <cellStyle name="Normal 30" xfId="190" xr:uid="{DD0F1DB3-3EE2-424D-9A5A-A3EC7B50F818}"/>
    <cellStyle name="Normal 31" xfId="191" xr:uid="{B8FDE035-07DC-4735-A29B-736F3BB04B4B}"/>
    <cellStyle name="Normal 32" xfId="192" xr:uid="{C2212D73-7103-41AE-A565-D6DC083625D5}"/>
    <cellStyle name="Normal 33" xfId="193" xr:uid="{3D63934B-DE7B-45D9-9EFC-DF822DB12663}"/>
    <cellStyle name="Normal 34" xfId="194" xr:uid="{9300DB5A-1F41-408A-8840-95A94E837759}"/>
    <cellStyle name="Normal 35" xfId="195" xr:uid="{92CAA68F-D5B9-4D17-9B87-499496A37EC8}"/>
    <cellStyle name="Normal 36" xfId="285" xr:uid="{7C317E25-2913-4A39-A219-4DE99452C743}"/>
    <cellStyle name="Normal 37" xfId="286" xr:uid="{16BCF3B6-7CCD-4150-928E-7CC620758A61}"/>
    <cellStyle name="Normal 38" xfId="287" xr:uid="{51B42FF8-FF4A-4BE5-896D-F87259336AFB}"/>
    <cellStyle name="Normal 39" xfId="289" xr:uid="{A255901B-5EE4-44C5-A7E1-48399B3A1501}"/>
    <cellStyle name="Normal 4" xfId="12" xr:uid="{FBF7ECDE-1AD1-4CF9-ABF2-771A5F0C259C}"/>
    <cellStyle name="Normal 4 2" xfId="196" xr:uid="{E32BA8AE-4850-4D4D-A1E7-3C3A325C2F76}"/>
    <cellStyle name="Normal 40" xfId="293" xr:uid="{9E9EB462-1B11-442A-81B1-AD9A5DB2E125}"/>
    <cellStyle name="Normal 41" xfId="294" xr:uid="{75040AFE-32C8-4235-AE42-DBE95044D2F2}"/>
    <cellStyle name="Normal 5" xfId="197" xr:uid="{74147CAC-6351-4B98-84DC-46904C2DC2C1}"/>
    <cellStyle name="Normal 5 2" xfId="198" xr:uid="{328FC652-A5F7-4C07-94C7-68937E213CED}"/>
    <cellStyle name="Normal 5 2 2" xfId="199" xr:uid="{EBADA302-9A99-4F24-8E5C-219356B0FDF5}"/>
    <cellStyle name="Normal 5 3" xfId="200" xr:uid="{1D73447B-B5E8-46E5-AACD-376529D36C44}"/>
    <cellStyle name="Normal 51" xfId="201" xr:uid="{2AC396CD-9FC6-4544-B6B6-9C0903BE0F70}"/>
    <cellStyle name="Normal 54" xfId="202" xr:uid="{AFB715A6-8008-4BA0-A4BC-6538B3BCF9BD}"/>
    <cellStyle name="Normal 6" xfId="203" xr:uid="{E8BFA5C5-2980-4A03-B8BB-4CFB9ED283D6}"/>
    <cellStyle name="Normal 6 2" xfId="204" xr:uid="{FB37A281-FFE6-43C4-AECD-2C40283850D1}"/>
    <cellStyle name="Normal 6 3" xfId="205" xr:uid="{04BCFC92-C714-4DC8-98CE-A4346DEF2A94}"/>
    <cellStyle name="Normal 7" xfId="206" xr:uid="{D700EF3D-A2E5-4EFC-B636-1EAB44CA6866}"/>
    <cellStyle name="Normal 7 2" xfId="207" xr:uid="{C31F9302-8438-47AD-9546-C3CFF8206838}"/>
    <cellStyle name="Normal 8" xfId="208" xr:uid="{B810B296-2A38-454D-A237-4CA52AA602E8}"/>
    <cellStyle name="Normal 9" xfId="209" xr:uid="{66708573-FCE2-4D2B-B938-92CBBFA9E4E4}"/>
    <cellStyle name="Note 2" xfId="210" xr:uid="{66D7045E-284A-4E75-A7CE-4BD23D7570E7}"/>
    <cellStyle name="Note 3" xfId="211" xr:uid="{4E960BD3-8EAC-44DB-8608-AE4620B2883C}"/>
    <cellStyle name="Output 2" xfId="212" xr:uid="{96D3F8B8-E797-4B5B-84DE-52ADC93B6AF7}"/>
    <cellStyle name="Percent" xfId="7" builtinId="5"/>
    <cellStyle name="Percent [2]" xfId="213" xr:uid="{82B542DF-A492-45D8-9134-05E79031A54A}"/>
    <cellStyle name="Percent 10" xfId="214" xr:uid="{7C51E7E5-2421-4E1B-8E72-A781E1950D5B}"/>
    <cellStyle name="Percent 11" xfId="215" xr:uid="{AC0F7AA3-B414-4A52-BA4D-A5EA45856D9E}"/>
    <cellStyle name="Percent 12" xfId="216" xr:uid="{A0625718-0581-4FD5-AFCC-1ABF85B1A273}"/>
    <cellStyle name="Percent 13" xfId="217" xr:uid="{3A17EF00-CC8E-4824-9F77-66E828ADEE69}"/>
    <cellStyle name="Percent 2" xfId="3" xr:uid="{2C15927C-E533-46C0-85D6-74B038181093}"/>
    <cellStyle name="Percent 2 2" xfId="218" xr:uid="{20E59094-B9A1-4FFB-B10C-B3F1C2F0DDBF}"/>
    <cellStyle name="Percent 2 3" xfId="219" xr:uid="{5582D414-3667-4A5C-885F-C23F631996DA}"/>
    <cellStyle name="Percent 2 4" xfId="220" xr:uid="{FC8DEF1A-A4A5-4BBE-956E-4D97F0608292}"/>
    <cellStyle name="Percent 2 5" xfId="221" xr:uid="{A33A7D4C-B04A-4BE5-A776-A151D3ACA907}"/>
    <cellStyle name="Percent 2 6" xfId="222" xr:uid="{0A74FD5A-D3A8-4928-A5F5-B850D27169A8}"/>
    <cellStyle name="Percent 2 7" xfId="223" xr:uid="{BA1BC821-B77F-4ADD-B7A8-C4D0CA094F8D}"/>
    <cellStyle name="Percent 2 8" xfId="10" xr:uid="{BAE4FED5-9C7A-44AE-B9C8-A6EF9DE5FFCC}"/>
    <cellStyle name="Percent 3" xfId="14" xr:uid="{27C79261-6696-45BC-B3FF-C47A1448906D}"/>
    <cellStyle name="Percent 3 2" xfId="16" xr:uid="{27478706-B293-46F7-91E2-60A1A7B925F6}"/>
    <cellStyle name="Percent 4" xfId="224" xr:uid="{4A104077-F319-4D5A-A5C7-A8ADAE06A13D}"/>
    <cellStyle name="Percent 4 2" xfId="225" xr:uid="{BDBC08A9-6FE6-4601-A0DF-9AD4F7F52418}"/>
    <cellStyle name="Percent 4 3" xfId="226" xr:uid="{CA85D9E4-D995-438A-A09B-1AF469A382DC}"/>
    <cellStyle name="Percent 5" xfId="227" xr:uid="{821A8287-A4AE-42DF-B35C-CC1F799E20C5}"/>
    <cellStyle name="Percent 5 2" xfId="228" xr:uid="{F513188B-B97F-4A92-96D6-338CF2C1E628}"/>
    <cellStyle name="Percent 6" xfId="229" xr:uid="{511C7E1C-5336-4EB2-A9CD-500254C84416}"/>
    <cellStyle name="Percent 7" xfId="230" xr:uid="{00225D33-477B-4303-BC0E-BDB01C2DF02A}"/>
    <cellStyle name="Percent 8" xfId="231" xr:uid="{4033E103-C40F-476E-AB0B-26C3D414F360}"/>
    <cellStyle name="Percent 9" xfId="232" xr:uid="{F8701A47-6F03-480F-9B3B-82BD878DB68E}"/>
    <cellStyle name="Refdb standard" xfId="233" xr:uid="{F8DE9EBF-E981-4FB1-B942-084BA8D6B061}"/>
    <cellStyle name="Reference" xfId="234" xr:uid="{2B695601-D028-4510-8B2E-90C0488673E2}"/>
    <cellStyle name="RHlayer1" xfId="235" xr:uid="{AC065E42-C0D6-48B7-8D08-426F2330FFD7}"/>
    <cellStyle name="RHlayer2" xfId="236" xr:uid="{6CC216D5-E961-45C1-8F9F-2EC0C99C9F5E}"/>
    <cellStyle name="RHlayer3" xfId="237" xr:uid="{6C420568-71D6-4C4B-8DA7-E2230423AF22}"/>
    <cellStyle name="RHlayer4" xfId="238" xr:uid="{78245707-FFBD-48CB-BFB2-1F6C59E070C4}"/>
    <cellStyle name="RHlayer5" xfId="239" xr:uid="{54422B7B-BB40-49EA-AB59-C0B001157CA9}"/>
    <cellStyle name="RHlayer6" xfId="240" xr:uid="{445B03F7-1209-412A-B731-1DEC0EC31A32}"/>
    <cellStyle name="RHlevel1" xfId="241" xr:uid="{C8747E69-1B69-4B77-B610-1AA6C6A36D42}"/>
    <cellStyle name="RHlevel2" xfId="242" xr:uid="{70CFB595-6DF4-4F25-A9A6-6F4F7C39C166}"/>
    <cellStyle name="RHlevel3" xfId="243" xr:uid="{601CE672-9C21-43FB-9AFB-39DC50D428CE}"/>
    <cellStyle name="RHlevel4" xfId="244" xr:uid="{ED5C9296-747F-4C00-A2D8-DF848F93FE02}"/>
    <cellStyle name="RHlevel5" xfId="245" xr:uid="{B59295A9-FFFD-49AB-9499-9ADB6A80B709}"/>
    <cellStyle name="Row heading" xfId="246" xr:uid="{3F1BE9D8-9A18-400D-97C8-2BACBD7B89C6}"/>
    <cellStyle name="Source Hed" xfId="247" xr:uid="{D7AF9A9C-7742-4F87-8C05-F081ECBC4693}"/>
    <cellStyle name="Source Letter" xfId="248" xr:uid="{2F6A5F59-1C76-4A91-83BD-6A7C653DA59A}"/>
    <cellStyle name="Source Superscript" xfId="249" xr:uid="{65BCE09F-92CD-4828-89EC-97D291E10091}"/>
    <cellStyle name="Source Superscript 2" xfId="250" xr:uid="{95E85D3D-E011-4D7A-94F7-1586D3EAB8C5}"/>
    <cellStyle name="Source Text" xfId="251" xr:uid="{01E61D94-CDC0-4033-A49F-BEC8746B5D8F}"/>
    <cellStyle name="Source Text 2" xfId="252" xr:uid="{D17623EF-E08C-43D1-BDAE-4C9BDC4157CC}"/>
    <cellStyle name="Source Text 3" xfId="253" xr:uid="{B0E75505-63C1-4658-B30B-876F844D7319}"/>
    <cellStyle name="State" xfId="254" xr:uid="{EE3587CD-1739-4B21-8316-CDBA561B5ECA}"/>
    <cellStyle name="Style 1" xfId="255" xr:uid="{C6393387-A549-4D34-8A07-4558484E45CA}"/>
    <cellStyle name="Superscript" xfId="256" xr:uid="{DA7F135F-4D69-4220-953B-FA509E0C23CF}"/>
    <cellStyle name="Superscript 2" xfId="308" xr:uid="{39239F86-A55B-4314-80F3-453B58EAAE6A}"/>
    <cellStyle name="Superscript- regular" xfId="257" xr:uid="{21D4EF79-9415-478A-859A-F672AAC1C0CB}"/>
    <cellStyle name="Superscript- regular 2" xfId="309" xr:uid="{57EAB6DA-1FC9-4ADD-BB58-A086B0A44A3C}"/>
    <cellStyle name="Superscript_1-1A-Regular" xfId="258" xr:uid="{2F4121A0-8CEB-4CB1-A542-FEE74C052696}"/>
    <cellStyle name="Table Data" xfId="259" xr:uid="{4264C00C-70E4-4FCF-A905-1A2A9495194D}"/>
    <cellStyle name="Table Head Top" xfId="260" xr:uid="{3E0AA2FF-5C80-4204-BCBB-FDA50C72CB62}"/>
    <cellStyle name="Table Hed Side" xfId="261" xr:uid="{5E46101F-2A74-4267-81B5-95F7729FDE1E}"/>
    <cellStyle name="Table Title" xfId="262" xr:uid="{16D95414-AA26-4EFC-B924-B21D99647BC3}"/>
    <cellStyle name="Times New Roman" xfId="263" xr:uid="{E019479F-C365-47B0-A6C8-D5D89D010444}"/>
    <cellStyle name="Title Text" xfId="264" xr:uid="{8558AE8B-BBAE-4E1C-8483-90DE22DC4825}"/>
    <cellStyle name="Title Text 1" xfId="265" xr:uid="{2ED80600-82BE-4FCA-9166-A7656B442596}"/>
    <cellStyle name="Title Text 2" xfId="266" xr:uid="{B1A7E8E5-87F2-48E7-86EF-92F40CCBCDBB}"/>
    <cellStyle name="Title-1" xfId="267" xr:uid="{5E2DAF61-33F3-4A3E-AA8F-ADA9C27B75C2}"/>
    <cellStyle name="Title-1 2" xfId="268" xr:uid="{74B471BD-F0BD-41EE-B897-F5866314682A}"/>
    <cellStyle name="Title-1 3" xfId="269" xr:uid="{35D6B4E5-9231-4AA9-AF9F-42C560144A58}"/>
    <cellStyle name="Title-2" xfId="270" xr:uid="{A12B1F96-5E3A-4872-894E-37D928E7FD5E}"/>
    <cellStyle name="Title-2 2" xfId="271" xr:uid="{A1A41BA1-186E-4D8C-B3AA-AE587DEDA033}"/>
    <cellStyle name="Title-3" xfId="272" xr:uid="{476B3958-10B1-44D3-B544-9B32AAE8C635}"/>
    <cellStyle name="Total 2" xfId="273" xr:uid="{5D873AE1-7158-4B67-830F-51669CB8FFB3}"/>
    <cellStyle name="Total 3" xfId="274" xr:uid="{B5DF1733-2D13-442E-9FA7-BF8F97AAD17E}"/>
    <cellStyle name="Warning Text 2" xfId="275" xr:uid="{1D40C0FB-CD6A-40D8-B1D2-30E3B44239CD}"/>
    <cellStyle name="Warning Text 2 2" xfId="276" xr:uid="{0557A1B9-7723-4E99-BDEB-38C4CAD9A318}"/>
    <cellStyle name="Warning Text 2 3" xfId="277" xr:uid="{81F7013C-A818-4281-A1B0-FEA54F3CB84D}"/>
    <cellStyle name="Warning Text 2 4" xfId="278" xr:uid="{71D0C467-9491-4624-9661-AC650BE3C8DC}"/>
    <cellStyle name="Wrap" xfId="279" xr:uid="{B6D7FB06-390B-4999-B0B5-62F5882AE439}"/>
    <cellStyle name="Wrap 2" xfId="310" xr:uid="{1C99971A-C0C7-4862-863D-39B73904D7DA}"/>
    <cellStyle name="Wrap Bold" xfId="280" xr:uid="{1193A4D7-A8E7-4440-B8A7-4F83CD621C30}"/>
    <cellStyle name="Wrap Title" xfId="281" xr:uid="{A062BBAD-2833-4FE8-ADD6-68929D8B9EC8}"/>
    <cellStyle name="Wrap_NTS99-~11" xfId="282" xr:uid="{15E896D5-B6BE-44B3-BC0B-D8D63C6421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333375</xdr:colOff>
      <xdr:row>8</xdr:row>
      <xdr:rowOff>123825</xdr:rowOff>
    </xdr:from>
    <xdr:to>
      <xdr:col>7</xdr:col>
      <xdr:colOff>257175</xdr:colOff>
      <xdr:row>11</xdr:row>
      <xdr:rowOff>183153</xdr:rowOff>
    </xdr:to>
    <xdr:sp macro="" textlink="">
      <xdr:nvSpPr>
        <xdr:cNvPr id="2" name="Freeform 2">
          <a:extLst>
            <a:ext uri="{FF2B5EF4-FFF2-40B4-BE49-F238E27FC236}">
              <a16:creationId xmlns:a16="http://schemas.microsoft.com/office/drawing/2014/main" id="{0A2E079E-75C2-4FA3-9BC1-1E3A4C563A2F}"/>
            </a:ext>
          </a:extLst>
        </xdr:cNvPr>
        <xdr:cNvSpPr>
          <a:spLocks noChangeAspect="1" noEditPoints="1"/>
        </xdr:cNvSpPr>
      </xdr:nvSpPr>
      <xdr:spPr bwMode="auto">
        <a:xfrm>
          <a:off x="3857625" y="1838325"/>
          <a:ext cx="1333500" cy="630828"/>
        </a:xfrm>
        <a:custGeom>
          <a:avLst/>
          <a:gdLst>
            <a:gd name="T0" fmla="*/ 693 w 1044"/>
            <a:gd name="T1" fmla="*/ 280 h 576"/>
            <a:gd name="T2" fmla="*/ 693 w 1044"/>
            <a:gd name="T3" fmla="*/ 280 h 576"/>
            <a:gd name="T4" fmla="*/ 413 w 1044"/>
            <a:gd name="T5" fmla="*/ 561 h 576"/>
            <a:gd name="T6" fmla="*/ 347 w 1044"/>
            <a:gd name="T7" fmla="*/ 561 h 576"/>
            <a:gd name="T8" fmla="*/ 347 w 1044"/>
            <a:gd name="T9" fmla="*/ 455 h 576"/>
            <a:gd name="T10" fmla="*/ 413 w 1044"/>
            <a:gd name="T11" fmla="*/ 455 h 576"/>
            <a:gd name="T12" fmla="*/ 588 w 1044"/>
            <a:gd name="T13" fmla="*/ 280 h 576"/>
            <a:gd name="T14" fmla="*/ 413 w 1044"/>
            <a:gd name="T15" fmla="*/ 105 h 576"/>
            <a:gd name="T16" fmla="*/ 347 w 1044"/>
            <a:gd name="T17" fmla="*/ 105 h 576"/>
            <a:gd name="T18" fmla="*/ 347 w 1044"/>
            <a:gd name="T19" fmla="*/ 0 h 576"/>
            <a:gd name="T20" fmla="*/ 413 w 1044"/>
            <a:gd name="T21" fmla="*/ 0 h 576"/>
            <a:gd name="T22" fmla="*/ 693 w 1044"/>
            <a:gd name="T23" fmla="*/ 280 h 576"/>
            <a:gd name="T24" fmla="*/ 693 w 1044"/>
            <a:gd name="T25" fmla="*/ 280 h 576"/>
            <a:gd name="T26" fmla="*/ 693 w 1044"/>
            <a:gd name="T27" fmla="*/ 280 h 576"/>
            <a:gd name="T28" fmla="*/ 693 w 1044"/>
            <a:gd name="T29" fmla="*/ 280 h 576"/>
            <a:gd name="T30" fmla="*/ 693 w 1044"/>
            <a:gd name="T31" fmla="*/ 101 h 576"/>
            <a:gd name="T32" fmla="*/ 820 w 1044"/>
            <a:gd name="T33" fmla="*/ 101 h 576"/>
            <a:gd name="T34" fmla="*/ 902 w 1044"/>
            <a:gd name="T35" fmla="*/ 127 h 576"/>
            <a:gd name="T36" fmla="*/ 928 w 1044"/>
            <a:gd name="T37" fmla="*/ 191 h 576"/>
            <a:gd name="T38" fmla="*/ 825 w 1044"/>
            <a:gd name="T39" fmla="*/ 281 h 576"/>
            <a:gd name="T40" fmla="*/ 793 w 1044"/>
            <a:gd name="T41" fmla="*/ 281 h 576"/>
            <a:gd name="T42" fmla="*/ 756 w 1044"/>
            <a:gd name="T43" fmla="*/ 361 h 576"/>
            <a:gd name="T44" fmla="*/ 963 w 1044"/>
            <a:gd name="T45" fmla="*/ 576 h 576"/>
            <a:gd name="T46" fmla="*/ 1044 w 1044"/>
            <a:gd name="T47" fmla="*/ 508 h 576"/>
            <a:gd name="T48" fmla="*/ 897 w 1044"/>
            <a:gd name="T49" fmla="*/ 360 h 576"/>
            <a:gd name="T50" fmla="*/ 1033 w 1044"/>
            <a:gd name="T51" fmla="*/ 193 h 576"/>
            <a:gd name="T52" fmla="*/ 975 w 1044"/>
            <a:gd name="T53" fmla="*/ 50 h 576"/>
            <a:gd name="T54" fmla="*/ 812 w 1044"/>
            <a:gd name="T55" fmla="*/ 0 h 576"/>
            <a:gd name="T56" fmla="*/ 693 w 1044"/>
            <a:gd name="T57" fmla="*/ 0 h 576"/>
            <a:gd name="T58" fmla="*/ 693 w 1044"/>
            <a:gd name="T59" fmla="*/ 101 h 576"/>
            <a:gd name="T60" fmla="*/ 350 w 1044"/>
            <a:gd name="T61" fmla="*/ 224 h 576"/>
            <a:gd name="T62" fmla="*/ 114 w 1044"/>
            <a:gd name="T63" fmla="*/ 224 h 576"/>
            <a:gd name="T64" fmla="*/ 114 w 1044"/>
            <a:gd name="T65" fmla="*/ 0 h 576"/>
            <a:gd name="T66" fmla="*/ 0 w 1044"/>
            <a:gd name="T67" fmla="*/ 0 h 576"/>
            <a:gd name="T68" fmla="*/ 0 w 1044"/>
            <a:gd name="T69" fmla="*/ 561 h 576"/>
            <a:gd name="T70" fmla="*/ 114 w 1044"/>
            <a:gd name="T71" fmla="*/ 561 h 576"/>
            <a:gd name="T72" fmla="*/ 114 w 1044"/>
            <a:gd name="T73" fmla="*/ 336 h 576"/>
            <a:gd name="T74" fmla="*/ 350 w 1044"/>
            <a:gd name="T75" fmla="*/ 336 h 576"/>
            <a:gd name="T76" fmla="*/ 350 w 1044"/>
            <a:gd name="T77" fmla="*/ 224 h 57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044" h="576">
              <a:moveTo>
                <a:pt x="693" y="280"/>
              </a:moveTo>
              <a:cubicBezTo>
                <a:pt x="693" y="280"/>
                <a:pt x="693" y="280"/>
                <a:pt x="693" y="280"/>
              </a:cubicBezTo>
              <a:cubicBezTo>
                <a:pt x="693" y="442"/>
                <a:pt x="575" y="561"/>
                <a:pt x="413" y="561"/>
              </a:cubicBezTo>
              <a:cubicBezTo>
                <a:pt x="347" y="561"/>
                <a:pt x="347" y="561"/>
                <a:pt x="347" y="561"/>
              </a:cubicBezTo>
              <a:cubicBezTo>
                <a:pt x="347" y="455"/>
                <a:pt x="347" y="455"/>
                <a:pt x="347" y="455"/>
              </a:cubicBezTo>
              <a:cubicBezTo>
                <a:pt x="413" y="455"/>
                <a:pt x="413" y="455"/>
                <a:pt x="413" y="455"/>
              </a:cubicBezTo>
              <a:cubicBezTo>
                <a:pt x="516" y="455"/>
                <a:pt x="588" y="383"/>
                <a:pt x="588" y="280"/>
              </a:cubicBezTo>
              <a:cubicBezTo>
                <a:pt x="588" y="177"/>
                <a:pt x="516" y="105"/>
                <a:pt x="413" y="105"/>
              </a:cubicBezTo>
              <a:cubicBezTo>
                <a:pt x="347" y="105"/>
                <a:pt x="347" y="105"/>
                <a:pt x="347" y="105"/>
              </a:cubicBezTo>
              <a:cubicBezTo>
                <a:pt x="347" y="0"/>
                <a:pt x="347" y="0"/>
                <a:pt x="347" y="0"/>
              </a:cubicBezTo>
              <a:cubicBezTo>
                <a:pt x="413" y="0"/>
                <a:pt x="413" y="0"/>
                <a:pt x="413" y="0"/>
              </a:cubicBezTo>
              <a:cubicBezTo>
                <a:pt x="575" y="0"/>
                <a:pt x="693" y="118"/>
                <a:pt x="693" y="280"/>
              </a:cubicBezTo>
              <a:cubicBezTo>
                <a:pt x="693" y="280"/>
                <a:pt x="693" y="280"/>
                <a:pt x="693" y="280"/>
              </a:cubicBezTo>
              <a:cubicBezTo>
                <a:pt x="693" y="280"/>
                <a:pt x="693" y="280"/>
                <a:pt x="693" y="280"/>
              </a:cubicBezTo>
              <a:cubicBezTo>
                <a:pt x="693" y="280"/>
                <a:pt x="693" y="280"/>
                <a:pt x="693" y="280"/>
              </a:cubicBezTo>
              <a:close/>
              <a:moveTo>
                <a:pt x="693" y="101"/>
              </a:moveTo>
              <a:cubicBezTo>
                <a:pt x="820" y="101"/>
                <a:pt x="820" y="101"/>
                <a:pt x="820" y="101"/>
              </a:cubicBezTo>
              <a:cubicBezTo>
                <a:pt x="858" y="101"/>
                <a:pt x="884" y="109"/>
                <a:pt x="902" y="127"/>
              </a:cubicBezTo>
              <a:cubicBezTo>
                <a:pt x="919" y="144"/>
                <a:pt x="928" y="166"/>
                <a:pt x="928" y="191"/>
              </a:cubicBezTo>
              <a:cubicBezTo>
                <a:pt x="928" y="247"/>
                <a:pt x="879" y="281"/>
                <a:pt x="825" y="281"/>
              </a:cubicBezTo>
              <a:cubicBezTo>
                <a:pt x="793" y="281"/>
                <a:pt x="793" y="281"/>
                <a:pt x="793" y="281"/>
              </a:cubicBezTo>
              <a:cubicBezTo>
                <a:pt x="756" y="361"/>
                <a:pt x="756" y="361"/>
                <a:pt x="756" y="361"/>
              </a:cubicBezTo>
              <a:cubicBezTo>
                <a:pt x="963" y="576"/>
                <a:pt x="963" y="576"/>
                <a:pt x="963" y="576"/>
              </a:cubicBezTo>
              <a:cubicBezTo>
                <a:pt x="1044" y="508"/>
                <a:pt x="1044" y="508"/>
                <a:pt x="1044" y="508"/>
              </a:cubicBezTo>
              <a:cubicBezTo>
                <a:pt x="897" y="360"/>
                <a:pt x="897" y="360"/>
                <a:pt x="897" y="360"/>
              </a:cubicBezTo>
              <a:cubicBezTo>
                <a:pt x="978" y="345"/>
                <a:pt x="1033" y="271"/>
                <a:pt x="1033" y="193"/>
              </a:cubicBezTo>
              <a:cubicBezTo>
                <a:pt x="1033" y="135"/>
                <a:pt x="1017" y="90"/>
                <a:pt x="975" y="50"/>
              </a:cubicBezTo>
              <a:cubicBezTo>
                <a:pt x="932" y="10"/>
                <a:pt x="884" y="0"/>
                <a:pt x="812" y="0"/>
              </a:cubicBezTo>
              <a:cubicBezTo>
                <a:pt x="693" y="0"/>
                <a:pt x="693" y="0"/>
                <a:pt x="693" y="0"/>
              </a:cubicBezTo>
              <a:lnTo>
                <a:pt x="693" y="101"/>
              </a:lnTo>
              <a:close/>
              <a:moveTo>
                <a:pt x="350" y="224"/>
              </a:moveTo>
              <a:cubicBezTo>
                <a:pt x="114" y="224"/>
                <a:pt x="114" y="224"/>
                <a:pt x="114" y="224"/>
              </a:cubicBezTo>
              <a:cubicBezTo>
                <a:pt x="114" y="0"/>
                <a:pt x="114" y="0"/>
                <a:pt x="114" y="0"/>
              </a:cubicBezTo>
              <a:cubicBezTo>
                <a:pt x="0" y="0"/>
                <a:pt x="0" y="0"/>
                <a:pt x="0" y="0"/>
              </a:cubicBezTo>
              <a:cubicBezTo>
                <a:pt x="0" y="561"/>
                <a:pt x="0" y="561"/>
                <a:pt x="0" y="561"/>
              </a:cubicBezTo>
              <a:cubicBezTo>
                <a:pt x="114" y="561"/>
                <a:pt x="114" y="561"/>
                <a:pt x="114" y="561"/>
              </a:cubicBezTo>
              <a:cubicBezTo>
                <a:pt x="114" y="336"/>
                <a:pt x="114" y="336"/>
                <a:pt x="114" y="336"/>
              </a:cubicBezTo>
              <a:cubicBezTo>
                <a:pt x="350" y="336"/>
                <a:pt x="350" y="336"/>
                <a:pt x="350" y="336"/>
              </a:cubicBezTo>
              <a:lnTo>
                <a:pt x="350" y="224"/>
              </a:lnTo>
              <a:close/>
            </a:path>
          </a:pathLst>
        </a:custGeom>
        <a:solidFill>
          <a:schemeClr val="bg1"/>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a:ln>
              <a:noFill/>
            </a:ln>
            <a:solidFill>
              <a:sysClr val="windowText" lastClr="000000"/>
            </a:solidFill>
            <a:effectLst/>
            <a:uLnTx/>
            <a:uFillTx/>
          </a:endParaRPr>
        </a:p>
      </xdr:txBody>
    </xdr:sp>
    <xdr:clientData/>
  </xdr:twoCellAnchor>
  <xdr:twoCellAnchor>
    <xdr:from>
      <xdr:col>5</xdr:col>
      <xdr:colOff>333375</xdr:colOff>
      <xdr:row>8</xdr:row>
      <xdr:rowOff>123825</xdr:rowOff>
    </xdr:from>
    <xdr:to>
      <xdr:col>7</xdr:col>
      <xdr:colOff>257175</xdr:colOff>
      <xdr:row>11</xdr:row>
      <xdr:rowOff>183153</xdr:rowOff>
    </xdr:to>
    <xdr:sp macro="" textlink="">
      <xdr:nvSpPr>
        <xdr:cNvPr id="3" name="Freeform 2">
          <a:extLst>
            <a:ext uri="{FF2B5EF4-FFF2-40B4-BE49-F238E27FC236}">
              <a16:creationId xmlns:a16="http://schemas.microsoft.com/office/drawing/2014/main" id="{6AFA909B-0FB9-49AD-B45F-B0F6EFF75BCA}"/>
            </a:ext>
          </a:extLst>
        </xdr:cNvPr>
        <xdr:cNvSpPr>
          <a:spLocks noChangeAspect="1" noEditPoints="1"/>
        </xdr:cNvSpPr>
      </xdr:nvSpPr>
      <xdr:spPr bwMode="auto">
        <a:xfrm>
          <a:off x="3950970" y="1764030"/>
          <a:ext cx="1371600" cy="598443"/>
        </a:xfrm>
        <a:custGeom>
          <a:avLst/>
          <a:gdLst>
            <a:gd name="T0" fmla="*/ 693 w 1044"/>
            <a:gd name="T1" fmla="*/ 280 h 576"/>
            <a:gd name="T2" fmla="*/ 693 w 1044"/>
            <a:gd name="T3" fmla="*/ 280 h 576"/>
            <a:gd name="T4" fmla="*/ 413 w 1044"/>
            <a:gd name="T5" fmla="*/ 561 h 576"/>
            <a:gd name="T6" fmla="*/ 347 w 1044"/>
            <a:gd name="T7" fmla="*/ 561 h 576"/>
            <a:gd name="T8" fmla="*/ 347 w 1044"/>
            <a:gd name="T9" fmla="*/ 455 h 576"/>
            <a:gd name="T10" fmla="*/ 413 w 1044"/>
            <a:gd name="T11" fmla="*/ 455 h 576"/>
            <a:gd name="T12" fmla="*/ 588 w 1044"/>
            <a:gd name="T13" fmla="*/ 280 h 576"/>
            <a:gd name="T14" fmla="*/ 413 w 1044"/>
            <a:gd name="T15" fmla="*/ 105 h 576"/>
            <a:gd name="T16" fmla="*/ 347 w 1044"/>
            <a:gd name="T17" fmla="*/ 105 h 576"/>
            <a:gd name="T18" fmla="*/ 347 w 1044"/>
            <a:gd name="T19" fmla="*/ 0 h 576"/>
            <a:gd name="T20" fmla="*/ 413 w 1044"/>
            <a:gd name="T21" fmla="*/ 0 h 576"/>
            <a:gd name="T22" fmla="*/ 693 w 1044"/>
            <a:gd name="T23" fmla="*/ 280 h 576"/>
            <a:gd name="T24" fmla="*/ 693 w 1044"/>
            <a:gd name="T25" fmla="*/ 280 h 576"/>
            <a:gd name="T26" fmla="*/ 693 w 1044"/>
            <a:gd name="T27" fmla="*/ 280 h 576"/>
            <a:gd name="T28" fmla="*/ 693 w 1044"/>
            <a:gd name="T29" fmla="*/ 280 h 576"/>
            <a:gd name="T30" fmla="*/ 693 w 1044"/>
            <a:gd name="T31" fmla="*/ 101 h 576"/>
            <a:gd name="T32" fmla="*/ 820 w 1044"/>
            <a:gd name="T33" fmla="*/ 101 h 576"/>
            <a:gd name="T34" fmla="*/ 902 w 1044"/>
            <a:gd name="T35" fmla="*/ 127 h 576"/>
            <a:gd name="T36" fmla="*/ 928 w 1044"/>
            <a:gd name="T37" fmla="*/ 191 h 576"/>
            <a:gd name="T38" fmla="*/ 825 w 1044"/>
            <a:gd name="T39" fmla="*/ 281 h 576"/>
            <a:gd name="T40" fmla="*/ 793 w 1044"/>
            <a:gd name="T41" fmla="*/ 281 h 576"/>
            <a:gd name="T42" fmla="*/ 756 w 1044"/>
            <a:gd name="T43" fmla="*/ 361 h 576"/>
            <a:gd name="T44" fmla="*/ 963 w 1044"/>
            <a:gd name="T45" fmla="*/ 576 h 576"/>
            <a:gd name="T46" fmla="*/ 1044 w 1044"/>
            <a:gd name="T47" fmla="*/ 508 h 576"/>
            <a:gd name="T48" fmla="*/ 897 w 1044"/>
            <a:gd name="T49" fmla="*/ 360 h 576"/>
            <a:gd name="T50" fmla="*/ 1033 w 1044"/>
            <a:gd name="T51" fmla="*/ 193 h 576"/>
            <a:gd name="T52" fmla="*/ 975 w 1044"/>
            <a:gd name="T53" fmla="*/ 50 h 576"/>
            <a:gd name="T54" fmla="*/ 812 w 1044"/>
            <a:gd name="T55" fmla="*/ 0 h 576"/>
            <a:gd name="T56" fmla="*/ 693 w 1044"/>
            <a:gd name="T57" fmla="*/ 0 h 576"/>
            <a:gd name="T58" fmla="*/ 693 w 1044"/>
            <a:gd name="T59" fmla="*/ 101 h 576"/>
            <a:gd name="T60" fmla="*/ 350 w 1044"/>
            <a:gd name="T61" fmla="*/ 224 h 576"/>
            <a:gd name="T62" fmla="*/ 114 w 1044"/>
            <a:gd name="T63" fmla="*/ 224 h 576"/>
            <a:gd name="T64" fmla="*/ 114 w 1044"/>
            <a:gd name="T65" fmla="*/ 0 h 576"/>
            <a:gd name="T66" fmla="*/ 0 w 1044"/>
            <a:gd name="T67" fmla="*/ 0 h 576"/>
            <a:gd name="T68" fmla="*/ 0 w 1044"/>
            <a:gd name="T69" fmla="*/ 561 h 576"/>
            <a:gd name="T70" fmla="*/ 114 w 1044"/>
            <a:gd name="T71" fmla="*/ 561 h 576"/>
            <a:gd name="T72" fmla="*/ 114 w 1044"/>
            <a:gd name="T73" fmla="*/ 336 h 576"/>
            <a:gd name="T74" fmla="*/ 350 w 1044"/>
            <a:gd name="T75" fmla="*/ 336 h 576"/>
            <a:gd name="T76" fmla="*/ 350 w 1044"/>
            <a:gd name="T77" fmla="*/ 224 h 57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044" h="576">
              <a:moveTo>
                <a:pt x="693" y="280"/>
              </a:moveTo>
              <a:cubicBezTo>
                <a:pt x="693" y="280"/>
                <a:pt x="693" y="280"/>
                <a:pt x="693" y="280"/>
              </a:cubicBezTo>
              <a:cubicBezTo>
                <a:pt x="693" y="442"/>
                <a:pt x="575" y="561"/>
                <a:pt x="413" y="561"/>
              </a:cubicBezTo>
              <a:cubicBezTo>
                <a:pt x="347" y="561"/>
                <a:pt x="347" y="561"/>
                <a:pt x="347" y="561"/>
              </a:cubicBezTo>
              <a:cubicBezTo>
                <a:pt x="347" y="455"/>
                <a:pt x="347" y="455"/>
                <a:pt x="347" y="455"/>
              </a:cubicBezTo>
              <a:cubicBezTo>
                <a:pt x="413" y="455"/>
                <a:pt x="413" y="455"/>
                <a:pt x="413" y="455"/>
              </a:cubicBezTo>
              <a:cubicBezTo>
                <a:pt x="516" y="455"/>
                <a:pt x="588" y="383"/>
                <a:pt x="588" y="280"/>
              </a:cubicBezTo>
              <a:cubicBezTo>
                <a:pt x="588" y="177"/>
                <a:pt x="516" y="105"/>
                <a:pt x="413" y="105"/>
              </a:cubicBezTo>
              <a:cubicBezTo>
                <a:pt x="347" y="105"/>
                <a:pt x="347" y="105"/>
                <a:pt x="347" y="105"/>
              </a:cubicBezTo>
              <a:cubicBezTo>
                <a:pt x="347" y="0"/>
                <a:pt x="347" y="0"/>
                <a:pt x="347" y="0"/>
              </a:cubicBezTo>
              <a:cubicBezTo>
                <a:pt x="413" y="0"/>
                <a:pt x="413" y="0"/>
                <a:pt x="413" y="0"/>
              </a:cubicBezTo>
              <a:cubicBezTo>
                <a:pt x="575" y="0"/>
                <a:pt x="693" y="118"/>
                <a:pt x="693" y="280"/>
              </a:cubicBezTo>
              <a:cubicBezTo>
                <a:pt x="693" y="280"/>
                <a:pt x="693" y="280"/>
                <a:pt x="693" y="280"/>
              </a:cubicBezTo>
              <a:cubicBezTo>
                <a:pt x="693" y="280"/>
                <a:pt x="693" y="280"/>
                <a:pt x="693" y="280"/>
              </a:cubicBezTo>
              <a:cubicBezTo>
                <a:pt x="693" y="280"/>
                <a:pt x="693" y="280"/>
                <a:pt x="693" y="280"/>
              </a:cubicBezTo>
              <a:close/>
              <a:moveTo>
                <a:pt x="693" y="101"/>
              </a:moveTo>
              <a:cubicBezTo>
                <a:pt x="820" y="101"/>
                <a:pt x="820" y="101"/>
                <a:pt x="820" y="101"/>
              </a:cubicBezTo>
              <a:cubicBezTo>
                <a:pt x="858" y="101"/>
                <a:pt x="884" y="109"/>
                <a:pt x="902" y="127"/>
              </a:cubicBezTo>
              <a:cubicBezTo>
                <a:pt x="919" y="144"/>
                <a:pt x="928" y="166"/>
                <a:pt x="928" y="191"/>
              </a:cubicBezTo>
              <a:cubicBezTo>
                <a:pt x="928" y="247"/>
                <a:pt x="879" y="281"/>
                <a:pt x="825" y="281"/>
              </a:cubicBezTo>
              <a:cubicBezTo>
                <a:pt x="793" y="281"/>
                <a:pt x="793" y="281"/>
                <a:pt x="793" y="281"/>
              </a:cubicBezTo>
              <a:cubicBezTo>
                <a:pt x="756" y="361"/>
                <a:pt x="756" y="361"/>
                <a:pt x="756" y="361"/>
              </a:cubicBezTo>
              <a:cubicBezTo>
                <a:pt x="963" y="576"/>
                <a:pt x="963" y="576"/>
                <a:pt x="963" y="576"/>
              </a:cubicBezTo>
              <a:cubicBezTo>
                <a:pt x="1044" y="508"/>
                <a:pt x="1044" y="508"/>
                <a:pt x="1044" y="508"/>
              </a:cubicBezTo>
              <a:cubicBezTo>
                <a:pt x="897" y="360"/>
                <a:pt x="897" y="360"/>
                <a:pt x="897" y="360"/>
              </a:cubicBezTo>
              <a:cubicBezTo>
                <a:pt x="978" y="345"/>
                <a:pt x="1033" y="271"/>
                <a:pt x="1033" y="193"/>
              </a:cubicBezTo>
              <a:cubicBezTo>
                <a:pt x="1033" y="135"/>
                <a:pt x="1017" y="90"/>
                <a:pt x="975" y="50"/>
              </a:cubicBezTo>
              <a:cubicBezTo>
                <a:pt x="932" y="10"/>
                <a:pt x="884" y="0"/>
                <a:pt x="812" y="0"/>
              </a:cubicBezTo>
              <a:cubicBezTo>
                <a:pt x="693" y="0"/>
                <a:pt x="693" y="0"/>
                <a:pt x="693" y="0"/>
              </a:cubicBezTo>
              <a:lnTo>
                <a:pt x="693" y="101"/>
              </a:lnTo>
              <a:close/>
              <a:moveTo>
                <a:pt x="350" y="224"/>
              </a:moveTo>
              <a:cubicBezTo>
                <a:pt x="114" y="224"/>
                <a:pt x="114" y="224"/>
                <a:pt x="114" y="224"/>
              </a:cubicBezTo>
              <a:cubicBezTo>
                <a:pt x="114" y="0"/>
                <a:pt x="114" y="0"/>
                <a:pt x="114" y="0"/>
              </a:cubicBezTo>
              <a:cubicBezTo>
                <a:pt x="0" y="0"/>
                <a:pt x="0" y="0"/>
                <a:pt x="0" y="0"/>
              </a:cubicBezTo>
              <a:cubicBezTo>
                <a:pt x="0" y="561"/>
                <a:pt x="0" y="561"/>
                <a:pt x="0" y="561"/>
              </a:cubicBezTo>
              <a:cubicBezTo>
                <a:pt x="114" y="561"/>
                <a:pt x="114" y="561"/>
                <a:pt x="114" y="561"/>
              </a:cubicBezTo>
              <a:cubicBezTo>
                <a:pt x="114" y="336"/>
                <a:pt x="114" y="336"/>
                <a:pt x="114" y="336"/>
              </a:cubicBezTo>
              <a:cubicBezTo>
                <a:pt x="350" y="336"/>
                <a:pt x="350" y="336"/>
                <a:pt x="350" y="336"/>
              </a:cubicBezTo>
              <a:lnTo>
                <a:pt x="350" y="224"/>
              </a:lnTo>
              <a:close/>
            </a:path>
          </a:pathLst>
        </a:custGeom>
        <a:solidFill>
          <a:schemeClr val="bg1"/>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a:ln>
              <a:noFill/>
            </a:ln>
            <a:solidFill>
              <a:sysClr val="windowText" lastClr="000000"/>
            </a:solidFill>
            <a:effectLst/>
            <a:uLnTx/>
            <a:uFillTx/>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106680</xdr:colOff>
      <xdr:row>53</xdr:row>
      <xdr:rowOff>167640</xdr:rowOff>
    </xdr:from>
    <xdr:to>
      <xdr:col>1</xdr:col>
      <xdr:colOff>2697480</xdr:colOff>
      <xdr:row>58</xdr:row>
      <xdr:rowOff>60960</xdr:rowOff>
    </xdr:to>
    <xdr:sp macro="" textlink="">
      <xdr:nvSpPr>
        <xdr:cNvPr id="2" name="Text Box 2">
          <a:extLst>
            <a:ext uri="{FF2B5EF4-FFF2-40B4-BE49-F238E27FC236}">
              <a16:creationId xmlns:a16="http://schemas.microsoft.com/office/drawing/2014/main" id="{02E40FBC-ABF2-42C9-948C-DF6E7B97D74F}"/>
            </a:ext>
          </a:extLst>
        </xdr:cNvPr>
        <xdr:cNvSpPr txBox="1">
          <a:spLocks noChangeArrowheads="1"/>
        </xdr:cNvSpPr>
      </xdr:nvSpPr>
      <xdr:spPr bwMode="auto">
        <a:xfrm>
          <a:off x="104775" y="9763125"/>
          <a:ext cx="1114425" cy="7905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7432" rIns="0" bIns="0" anchor="t" upright="1"/>
        <a:lstStyle/>
        <a:p>
          <a:pPr algn="l" rtl="0">
            <a:defRPr sz="1000"/>
          </a:pPr>
          <a:r>
            <a:rPr lang="en-US" sz="1000" b="0" i="0" u="none" strike="noStrike" baseline="0">
              <a:solidFill>
                <a:srgbClr val="000000"/>
              </a:solidFill>
              <a:latin typeface="Arial"/>
              <a:cs typeface="Arial"/>
            </a:rPr>
            <a:t>Notes:   </a:t>
          </a:r>
        </a:p>
        <a:p>
          <a:pPr algn="l" rtl="0">
            <a:defRPr sz="1000"/>
          </a:pPr>
          <a:r>
            <a:rPr lang="en-US" sz="1000" b="0" i="0" u="none" strike="noStrike" baseline="0">
              <a:solidFill>
                <a:srgbClr val="000000"/>
              </a:solidFill>
              <a:latin typeface="Arial"/>
              <a:cs typeface="Arial"/>
            </a:rPr>
            <a:t>F &amp; I = Furnish and Install  D &amp; D = Demolition &amp; Disposal</a:t>
          </a:r>
        </a:p>
        <a:p>
          <a:pPr algn="l" rtl="0">
            <a:defRPr sz="1000"/>
          </a:pPr>
          <a:r>
            <a:rPr lang="en-US" sz="1000" b="0" i="0" u="none" strike="noStrike" baseline="0">
              <a:solidFill>
                <a:srgbClr val="000000"/>
              </a:solidFill>
              <a:latin typeface="Arial"/>
              <a:cs typeface="Arial"/>
            </a:rPr>
            <a:t>TF = Track Feet                  CY = Cubic Yards</a:t>
          </a:r>
        </a:p>
        <a:p>
          <a:pPr algn="l" rtl="0">
            <a:defRPr sz="1000"/>
          </a:pPr>
          <a:r>
            <a:rPr lang="en-US" sz="1000" b="0" i="0" u="none" strike="noStrike" baseline="0">
              <a:solidFill>
                <a:srgbClr val="000000"/>
              </a:solidFill>
              <a:latin typeface="Arial"/>
              <a:cs typeface="Arial"/>
            </a:rPr>
            <a:t>SY = Square Yards             LS = Lump Sum</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106680</xdr:colOff>
      <xdr:row>62</xdr:row>
      <xdr:rowOff>167640</xdr:rowOff>
    </xdr:from>
    <xdr:to>
      <xdr:col>1</xdr:col>
      <xdr:colOff>2697480</xdr:colOff>
      <xdr:row>67</xdr:row>
      <xdr:rowOff>60960</xdr:rowOff>
    </xdr:to>
    <xdr:sp macro="" textlink="">
      <xdr:nvSpPr>
        <xdr:cNvPr id="2" name="Text Box 2">
          <a:extLst>
            <a:ext uri="{FF2B5EF4-FFF2-40B4-BE49-F238E27FC236}">
              <a16:creationId xmlns:a16="http://schemas.microsoft.com/office/drawing/2014/main" id="{0D7592CE-755F-478F-921F-4C8EAE2902F9}"/>
            </a:ext>
          </a:extLst>
        </xdr:cNvPr>
        <xdr:cNvSpPr txBox="1">
          <a:spLocks noChangeArrowheads="1"/>
        </xdr:cNvSpPr>
      </xdr:nvSpPr>
      <xdr:spPr bwMode="auto">
        <a:xfrm>
          <a:off x="104775" y="12763500"/>
          <a:ext cx="3790950" cy="7905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7432" rIns="0" bIns="0" anchor="t" upright="1"/>
        <a:lstStyle/>
        <a:p>
          <a:pPr algn="l" rtl="0">
            <a:defRPr sz="1000"/>
          </a:pPr>
          <a:r>
            <a:rPr lang="en-US" sz="1000" b="0" i="0" u="none" strike="noStrike" baseline="0">
              <a:solidFill>
                <a:srgbClr val="000000"/>
              </a:solidFill>
              <a:latin typeface="Arial"/>
              <a:cs typeface="Arial"/>
            </a:rPr>
            <a:t>Notes:   </a:t>
          </a:r>
        </a:p>
        <a:p>
          <a:pPr algn="l" rtl="0">
            <a:defRPr sz="1000"/>
          </a:pPr>
          <a:r>
            <a:rPr lang="en-US" sz="1000" b="0" i="0" u="none" strike="noStrike" baseline="0">
              <a:solidFill>
                <a:srgbClr val="000000"/>
              </a:solidFill>
              <a:latin typeface="Arial"/>
              <a:cs typeface="Arial"/>
            </a:rPr>
            <a:t>F &amp; I = Furnish and Install  D &amp; D = Demolition &amp; Disposal</a:t>
          </a:r>
        </a:p>
        <a:p>
          <a:pPr algn="l" rtl="0">
            <a:defRPr sz="1000"/>
          </a:pPr>
          <a:r>
            <a:rPr lang="en-US" sz="1000" b="0" i="0" u="none" strike="noStrike" baseline="0">
              <a:solidFill>
                <a:srgbClr val="000000"/>
              </a:solidFill>
              <a:latin typeface="Arial"/>
              <a:cs typeface="Arial"/>
            </a:rPr>
            <a:t>TF = Track Feet                  CY = Cubic Yards</a:t>
          </a:r>
        </a:p>
        <a:p>
          <a:pPr algn="l" rtl="0">
            <a:defRPr sz="1000"/>
          </a:pPr>
          <a:r>
            <a:rPr lang="en-US" sz="1000" b="0" i="0" u="none" strike="noStrike" baseline="0">
              <a:solidFill>
                <a:srgbClr val="000000"/>
              </a:solidFill>
              <a:latin typeface="Arial"/>
              <a:cs typeface="Arial"/>
            </a:rPr>
            <a:t>SY = Square Yards             LS = Lump Sum</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8" Type="http://schemas.openxmlformats.org/officeDocument/2006/relationships/hyperlink" Target="https://trid.trb.org/view/1338221" TargetMode="External"/><Relationship Id="rId13" Type="http://schemas.openxmlformats.org/officeDocument/2006/relationships/hyperlink" Target="https://www.sciencedirect.com/science/article/abs/pii/S0965856412001164?via%3Dihub" TargetMode="External"/><Relationship Id="rId18" Type="http://schemas.openxmlformats.org/officeDocument/2006/relationships/hyperlink" Target="https://nhts.ornl.gov/" TargetMode="External"/><Relationship Id="rId26" Type="http://schemas.openxmlformats.org/officeDocument/2006/relationships/hyperlink" Target="https://truckingresearch.org/wp-content/uploads/2025/07/ATRI-Operational-Costs-of-Trucking-07-2025.pdf" TargetMode="External"/><Relationship Id="rId3" Type="http://schemas.openxmlformats.org/officeDocument/2006/relationships/hyperlink" Target="https://www.epa.gov/energy/greenhouse-gases-equivalencies-calculator-calculations-and-references" TargetMode="External"/><Relationship Id="rId21" Type="http://schemas.openxmlformats.org/officeDocument/2006/relationships/hyperlink" Target="https://www.fhwa.dot.gov/policy/otps/costallocation.cfm" TargetMode="External"/><Relationship Id="rId7" Type="http://schemas.openxmlformats.org/officeDocument/2006/relationships/hyperlink" Target="https://www.sciencedirect.com/science/article/abs/pii/S2214367X21000569" TargetMode="External"/><Relationship Id="rId12" Type="http://schemas.openxmlformats.org/officeDocument/2006/relationships/hyperlink" Target="https://www.sciencedirect.com/science/article/abs/pii/S0966692318307166?via%3Dihub" TargetMode="External"/><Relationship Id="rId17" Type="http://schemas.openxmlformats.org/officeDocument/2006/relationships/hyperlink" Target="https://www.euro.who.int/__data/assets/pdf_file/0010/352963/Heat.pdf" TargetMode="External"/><Relationship Id="rId25" Type="http://schemas.openxmlformats.org/officeDocument/2006/relationships/hyperlink" Target="https://newsroom.aaa.com/wp%02content/uploads/2024/09/YDC_Fact-Sheet-FINAL%029.2024.pdf" TargetMode="External"/><Relationship Id="rId2" Type="http://schemas.openxmlformats.org/officeDocument/2006/relationships/hyperlink" Target="https://www.transportation.gov/office-policy/transportation-policy/revised-departmental-guidance-valuation-travel-time-economic" TargetMode="External"/><Relationship Id="rId16" Type="http://schemas.openxmlformats.org/officeDocument/2006/relationships/hyperlink" Target="https://www.transit.dot.gov/funding/grant-programs/capital-investments/stops" TargetMode="External"/><Relationship Id="rId20" Type="http://schemas.openxmlformats.org/officeDocument/2006/relationships/hyperlink" Target="https://www.census.gov/data/tables/2019/demo/age-and-sex/2019-age-sex-composition.html" TargetMode="External"/><Relationship Id="rId1" Type="http://schemas.openxmlformats.org/officeDocument/2006/relationships/hyperlink" Target="https://www.transportation.gov/sites/dot.gov/files/2025-12/Benefit%20Cost%20Analysis%20Guidance%202026%20Update%20%28Final%29.pdf" TargetMode="External"/><Relationship Id="rId6" Type="http://schemas.openxmlformats.org/officeDocument/2006/relationships/hyperlink" Target="https://www.sciencedirect.com/science/article/abs/pii/S136192090900039X" TargetMode="External"/><Relationship Id="rId11" Type="http://schemas.openxmlformats.org/officeDocument/2006/relationships/hyperlink" Target="https://journals.sagepub.com/doi/10.3141/2564-06" TargetMode="External"/><Relationship Id="rId24" Type="http://schemas.openxmlformats.org/officeDocument/2006/relationships/hyperlink" Target="https://www.epa.gov/moves" TargetMode="External"/><Relationship Id="rId5" Type="http://schemas.openxmlformats.org/officeDocument/2006/relationships/hyperlink" Target="https://apps.bea.gov/iTable/?reqid=19&amp;step=3&amp;isuri=1&amp;1921=survey&amp;1903=11" TargetMode="External"/><Relationship Id="rId15" Type="http://schemas.openxmlformats.org/officeDocument/2006/relationships/hyperlink" Target="https://publictransportresearchgroup.info/portfolio-item/best-practice-approaches-to-public-transport-customer-amenity-valuation/" TargetMode="External"/><Relationship Id="rId23" Type="http://schemas.openxmlformats.org/officeDocument/2006/relationships/hyperlink" Target="https://www.nhtsa.gov/crash-data-systems/crash-report-sampling-system" TargetMode="External"/><Relationship Id="rId10" Type="http://schemas.openxmlformats.org/officeDocument/2006/relationships/hyperlink" Target="https://www.sciencedirect.com/science/article/abs/pii/S0091743514003703?via%3Dihub" TargetMode="External"/><Relationship Id="rId19" Type="http://schemas.openxmlformats.org/officeDocument/2006/relationships/hyperlink" Target="https://wonder.cdc.gov/" TargetMode="External"/><Relationship Id="rId4" Type="http://schemas.openxmlformats.org/officeDocument/2006/relationships/hyperlink" Target="https://www.epa.gov/sites/default/files/2018-02/documents/sourceapportionmentbpttsd_2018.pdf" TargetMode="External"/><Relationship Id="rId9" Type="http://schemas.openxmlformats.org/officeDocument/2006/relationships/hyperlink" Target="https://www.sfcta.org/sites/default/files/2019-03/BikeRouteChoiceModel.pdf" TargetMode="External"/><Relationship Id="rId14" Type="http://schemas.openxmlformats.org/officeDocument/2006/relationships/hyperlink" Target="https://publictransportresearchgroup.info/portfolio-item/best-practice-approaches-to-public-transport-customer-amenity-valuation/" TargetMode="External"/><Relationship Id="rId22" Type="http://schemas.openxmlformats.org/officeDocument/2006/relationships/hyperlink" Target="https://www.nhtsa.gov/research-data/fatality-analysis-reporting-system-fars" TargetMode="External"/><Relationship Id="rId27"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sx.com/index.cfm/about-us/the-csx-advantage/fuel-efficiency/" TargetMode="External"/><Relationship Id="rId1" Type="http://schemas.openxmlformats.org/officeDocument/2006/relationships/hyperlink" Target="https://www.epa.gov/system/files/documents/2023-01/2020_NEI_Rail_062722.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289BE-C95F-4631-AEF6-9C6D36503F75}">
  <sheetPr codeName="Sheet2">
    <tabColor theme="1"/>
  </sheetPr>
  <dimension ref="A1:M27"/>
  <sheetViews>
    <sheetView workbookViewId="0">
      <selection activeCell="B5" sqref="B5:L5"/>
    </sheetView>
  </sheetViews>
  <sheetFormatPr defaultRowHeight="14.5" x14ac:dyDescent="0.35"/>
  <cols>
    <col min="1" max="11" width="10.54296875" customWidth="1"/>
    <col min="12" max="12" width="15" customWidth="1"/>
    <col min="13" max="13" width="10.54296875" customWidth="1"/>
  </cols>
  <sheetData>
    <row r="1" spans="1:13" x14ac:dyDescent="0.35">
      <c r="A1" s="78"/>
      <c r="B1" s="78"/>
      <c r="C1" s="78"/>
      <c r="D1" s="78"/>
      <c r="E1" s="78"/>
      <c r="F1" s="78"/>
      <c r="G1" s="78"/>
      <c r="H1" s="78"/>
      <c r="I1" s="78"/>
      <c r="J1" s="78"/>
      <c r="K1" s="78"/>
      <c r="L1" s="78"/>
      <c r="M1" s="78"/>
    </row>
    <row r="2" spans="1:13" x14ac:dyDescent="0.35">
      <c r="A2" s="78"/>
      <c r="B2" s="78"/>
      <c r="C2" s="78"/>
      <c r="D2" s="78"/>
      <c r="E2" s="78"/>
      <c r="F2" s="78"/>
      <c r="G2" s="78"/>
      <c r="H2" s="78"/>
      <c r="I2" s="78"/>
      <c r="J2" s="78"/>
      <c r="K2" s="78"/>
      <c r="L2" s="78"/>
      <c r="M2" s="78"/>
    </row>
    <row r="3" spans="1:13" x14ac:dyDescent="0.35">
      <c r="A3" s="78"/>
      <c r="B3" s="78"/>
      <c r="C3" s="78"/>
      <c r="D3" s="78"/>
      <c r="E3" s="78"/>
      <c r="F3" s="78"/>
      <c r="G3" s="78"/>
      <c r="H3" s="78"/>
      <c r="I3" s="78"/>
      <c r="J3" s="78"/>
      <c r="K3" s="78"/>
      <c r="L3" s="78"/>
      <c r="M3" s="78"/>
    </row>
    <row r="4" spans="1:13" ht="18.5" x14ac:dyDescent="0.35">
      <c r="A4" s="78"/>
      <c r="B4" s="788" t="s">
        <v>0</v>
      </c>
      <c r="C4" s="788"/>
      <c r="D4" s="788"/>
      <c r="E4" s="788"/>
      <c r="F4" s="788"/>
      <c r="G4" s="788"/>
      <c r="H4" s="788"/>
      <c r="I4" s="788"/>
      <c r="J4" s="788"/>
      <c r="K4" s="788"/>
      <c r="L4" s="788"/>
      <c r="M4" s="78"/>
    </row>
    <row r="5" spans="1:13" ht="18.5" x14ac:dyDescent="0.35">
      <c r="A5" s="78"/>
      <c r="B5" s="788" t="s">
        <v>1</v>
      </c>
      <c r="C5" s="788"/>
      <c r="D5" s="788"/>
      <c r="E5" s="788"/>
      <c r="F5" s="788"/>
      <c r="G5" s="788"/>
      <c r="H5" s="788"/>
      <c r="I5" s="788"/>
      <c r="J5" s="788"/>
      <c r="K5" s="788"/>
      <c r="L5" s="788"/>
      <c r="M5" s="78"/>
    </row>
    <row r="6" spans="1:13" ht="18.5" x14ac:dyDescent="0.35">
      <c r="A6" s="78"/>
      <c r="B6" s="788" t="s">
        <v>2</v>
      </c>
      <c r="C6" s="788"/>
      <c r="D6" s="788"/>
      <c r="E6" s="788"/>
      <c r="F6" s="788"/>
      <c r="G6" s="788"/>
      <c r="H6" s="788"/>
      <c r="I6" s="788"/>
      <c r="J6" s="788"/>
      <c r="K6" s="788"/>
      <c r="L6" s="788"/>
      <c r="M6" s="78"/>
    </row>
    <row r="7" spans="1:13" ht="18.5" x14ac:dyDescent="0.35">
      <c r="A7" s="78"/>
      <c r="B7" s="789">
        <v>46198</v>
      </c>
      <c r="C7" s="789"/>
      <c r="D7" s="789"/>
      <c r="E7" s="789"/>
      <c r="F7" s="789"/>
      <c r="G7" s="789"/>
      <c r="H7" s="789"/>
      <c r="I7" s="789"/>
      <c r="J7" s="789"/>
      <c r="K7" s="789"/>
      <c r="L7" s="789"/>
      <c r="M7" s="78"/>
    </row>
    <row r="8" spans="1:13" x14ac:dyDescent="0.35">
      <c r="A8" s="78"/>
      <c r="B8" s="78"/>
      <c r="C8" s="78"/>
      <c r="D8" s="78"/>
      <c r="E8" s="78"/>
      <c r="F8" s="78"/>
      <c r="G8" s="78"/>
      <c r="H8" s="78"/>
      <c r="I8" s="78"/>
      <c r="J8" s="78"/>
      <c r="K8" s="78"/>
      <c r="L8" s="78"/>
      <c r="M8" s="78"/>
    </row>
    <row r="9" spans="1:13" x14ac:dyDescent="0.35">
      <c r="A9" s="78"/>
      <c r="B9" s="78"/>
      <c r="C9" s="78"/>
      <c r="D9" s="78"/>
      <c r="E9" s="78"/>
      <c r="F9" s="78"/>
      <c r="G9" s="78"/>
      <c r="H9" s="78"/>
      <c r="I9" s="78"/>
      <c r="J9" s="78"/>
      <c r="K9" s="78"/>
      <c r="L9" s="78"/>
      <c r="M9" s="78"/>
    </row>
    <row r="10" spans="1:13" x14ac:dyDescent="0.35">
      <c r="A10" s="78"/>
      <c r="B10" s="78"/>
      <c r="C10" s="78"/>
      <c r="D10" s="78"/>
      <c r="E10" s="78"/>
      <c r="F10" s="78"/>
      <c r="G10" s="78"/>
      <c r="H10" s="78"/>
      <c r="I10" s="78"/>
      <c r="J10" s="78"/>
      <c r="K10" s="78"/>
      <c r="L10" s="78"/>
      <c r="M10" s="78"/>
    </row>
    <row r="11" spans="1:13" x14ac:dyDescent="0.35">
      <c r="A11" s="78"/>
      <c r="B11" s="78"/>
      <c r="C11" s="78"/>
      <c r="D11" s="78"/>
      <c r="E11" s="78"/>
      <c r="F11" s="78"/>
      <c r="G11" s="78"/>
      <c r="H11" s="78"/>
      <c r="I11" s="78"/>
      <c r="J11" s="78"/>
      <c r="K11" s="78"/>
      <c r="L11" s="78"/>
      <c r="M11" s="78"/>
    </row>
    <row r="12" spans="1:13" x14ac:dyDescent="0.35">
      <c r="A12" s="78"/>
      <c r="B12" s="78"/>
      <c r="C12" s="78"/>
      <c r="D12" s="78"/>
      <c r="E12" s="78"/>
      <c r="F12" s="78"/>
      <c r="G12" s="78"/>
      <c r="H12" s="78"/>
      <c r="I12" s="78"/>
      <c r="J12" s="78"/>
      <c r="K12" s="78"/>
      <c r="L12" s="78"/>
      <c r="M12" s="78"/>
    </row>
    <row r="13" spans="1:13" x14ac:dyDescent="0.35">
      <c r="A13" s="78"/>
      <c r="B13" s="78"/>
      <c r="C13" s="78"/>
      <c r="D13" s="78"/>
      <c r="E13" s="78"/>
      <c r="F13" s="78"/>
      <c r="G13" s="78"/>
      <c r="H13" s="78"/>
      <c r="I13" s="78"/>
      <c r="J13" s="78"/>
      <c r="K13" s="78"/>
      <c r="L13" s="78"/>
      <c r="M13" s="78"/>
    </row>
    <row r="14" spans="1:13" ht="15.5" x14ac:dyDescent="0.35">
      <c r="A14" s="78"/>
      <c r="B14" s="790" t="s">
        <v>3</v>
      </c>
      <c r="C14" s="790"/>
      <c r="D14" s="78"/>
      <c r="E14" s="79" t="s">
        <v>4</v>
      </c>
      <c r="F14" s="78"/>
      <c r="G14" s="78"/>
      <c r="H14" s="78"/>
      <c r="I14" s="78"/>
      <c r="J14" s="78"/>
      <c r="K14" s="78"/>
      <c r="L14" s="78"/>
      <c r="M14" s="78"/>
    </row>
    <row r="15" spans="1:13" x14ac:dyDescent="0.35">
      <c r="A15" s="78"/>
      <c r="B15" s="787" t="str">
        <f>"The Model is provided to the "&amp;Client.Name&amp;" on the basis that it is strictly private and confidential. The Recipients agree to not disclose that information to any person or entity except with the prior written consent of HDR Inc. (HDR) or as required by law."</f>
        <v>The Model is provided to the Alabama Port Authority on the basis that it is strictly private and confidential. The Recipients agree to not disclose that information to any person or entity except with the prior written consent of HDR Inc. (HDR) or as required by law.</v>
      </c>
      <c r="C15" s="787"/>
      <c r="D15" s="787"/>
      <c r="E15" s="787"/>
      <c r="F15" s="787"/>
      <c r="G15" s="787"/>
      <c r="H15" s="787"/>
      <c r="I15" s="787"/>
      <c r="J15" s="787"/>
      <c r="K15" s="787"/>
      <c r="L15" s="787"/>
      <c r="M15" s="78"/>
    </row>
    <row r="16" spans="1:13" x14ac:dyDescent="0.35">
      <c r="A16" s="78"/>
      <c r="B16" s="787"/>
      <c r="C16" s="787"/>
      <c r="D16" s="787"/>
      <c r="E16" s="787"/>
      <c r="F16" s="787"/>
      <c r="G16" s="787"/>
      <c r="H16" s="787"/>
      <c r="I16" s="787"/>
      <c r="J16" s="787"/>
      <c r="K16" s="787"/>
      <c r="L16" s="787"/>
      <c r="M16" s="78"/>
    </row>
    <row r="17" spans="1:13" x14ac:dyDescent="0.35">
      <c r="A17" s="78"/>
      <c r="B17" s="787"/>
      <c r="C17" s="787"/>
      <c r="D17" s="787"/>
      <c r="E17" s="787"/>
      <c r="F17" s="787"/>
      <c r="G17" s="787"/>
      <c r="H17" s="787"/>
      <c r="I17" s="787"/>
      <c r="J17" s="787"/>
      <c r="K17" s="787"/>
      <c r="L17" s="787"/>
      <c r="M17" s="78"/>
    </row>
    <row r="18" spans="1:13" x14ac:dyDescent="0.35">
      <c r="A18" s="78"/>
      <c r="B18" s="787" t="str">
        <f>"HDR retains all intellectual property with respect to this Model.  The Recipients agree to use this Model only for the purpose of performing analysis in support of the "&amp;Grant.Name&amp;" for the "&amp;Project.Name&amp;". The Model must not be used for any other purpose. "</f>
        <v xml:space="preserve">HDR retains all intellectual property with respect to this Model.  The Recipients agree to use this Model only for the purpose of performing analysis in support of the Consolidated Rail Infrastructure and Safety Improvements (CRISI) Grant Program for the Port of Mobile’s Terminal Railway State Docks Interchange Yard Improvement Project (New Horizons Project). The Model must not be used for any other purpose. </v>
      </c>
      <c r="C18" s="787"/>
      <c r="D18" s="787"/>
      <c r="E18" s="787"/>
      <c r="F18" s="787"/>
      <c r="G18" s="787"/>
      <c r="H18" s="787"/>
      <c r="I18" s="787"/>
      <c r="J18" s="787"/>
      <c r="K18" s="787"/>
      <c r="L18" s="787"/>
      <c r="M18" s="78"/>
    </row>
    <row r="19" spans="1:13" x14ac:dyDescent="0.35">
      <c r="A19" s="78"/>
      <c r="B19" s="787"/>
      <c r="C19" s="787"/>
      <c r="D19" s="787"/>
      <c r="E19" s="787"/>
      <c r="F19" s="787"/>
      <c r="G19" s="787"/>
      <c r="H19" s="787"/>
      <c r="I19" s="787"/>
      <c r="J19" s="787"/>
      <c r="K19" s="787"/>
      <c r="L19" s="787"/>
      <c r="M19" s="78"/>
    </row>
    <row r="20" spans="1:13" x14ac:dyDescent="0.35">
      <c r="A20" s="78"/>
      <c r="B20" s="787"/>
      <c r="C20" s="787"/>
      <c r="D20" s="787"/>
      <c r="E20" s="787"/>
      <c r="F20" s="787"/>
      <c r="G20" s="787"/>
      <c r="H20" s="787"/>
      <c r="I20" s="787"/>
      <c r="J20" s="787"/>
      <c r="K20" s="787"/>
      <c r="L20" s="787"/>
      <c r="M20" s="78"/>
    </row>
    <row r="21" spans="1:13" ht="14.5" customHeight="1" x14ac:dyDescent="0.35">
      <c r="A21" s="78"/>
      <c r="B21" s="787" t="s">
        <v>5</v>
      </c>
      <c r="C21" s="787"/>
      <c r="D21" s="787"/>
      <c r="E21" s="787"/>
      <c r="F21" s="787"/>
      <c r="G21" s="787"/>
      <c r="H21" s="787"/>
      <c r="I21" s="787"/>
      <c r="J21" s="787"/>
      <c r="K21" s="787"/>
      <c r="L21" s="787"/>
      <c r="M21" s="78"/>
    </row>
    <row r="22" spans="1:13" x14ac:dyDescent="0.35">
      <c r="A22" s="78"/>
      <c r="B22" s="787"/>
      <c r="C22" s="787"/>
      <c r="D22" s="787"/>
      <c r="E22" s="787"/>
      <c r="F22" s="787"/>
      <c r="G22" s="787"/>
      <c r="H22" s="787"/>
      <c r="I22" s="787"/>
      <c r="J22" s="787"/>
      <c r="K22" s="787"/>
      <c r="L22" s="787"/>
      <c r="M22" s="78"/>
    </row>
    <row r="23" spans="1:13" ht="14.5" customHeight="1" x14ac:dyDescent="0.35">
      <c r="A23" s="78"/>
      <c r="B23" s="787" t="s">
        <v>6</v>
      </c>
      <c r="C23" s="787"/>
      <c r="D23" s="787"/>
      <c r="E23" s="787"/>
      <c r="F23" s="787"/>
      <c r="G23" s="787"/>
      <c r="H23" s="787"/>
      <c r="I23" s="787"/>
      <c r="J23" s="787"/>
      <c r="K23" s="787"/>
      <c r="L23" s="787"/>
      <c r="M23" s="78"/>
    </row>
    <row r="24" spans="1:13" x14ac:dyDescent="0.35">
      <c r="A24" s="78"/>
      <c r="B24" s="787"/>
      <c r="C24" s="787"/>
      <c r="D24" s="787"/>
      <c r="E24" s="787"/>
      <c r="F24" s="787"/>
      <c r="G24" s="787"/>
      <c r="H24" s="787"/>
      <c r="I24" s="787"/>
      <c r="J24" s="787"/>
      <c r="K24" s="787"/>
      <c r="L24" s="787"/>
      <c r="M24" s="78"/>
    </row>
    <row r="25" spans="1:13" x14ac:dyDescent="0.35">
      <c r="A25" s="78"/>
      <c r="B25" s="787"/>
      <c r="C25" s="787"/>
      <c r="D25" s="787"/>
      <c r="E25" s="787"/>
      <c r="F25" s="787"/>
      <c r="G25" s="787"/>
      <c r="H25" s="787"/>
      <c r="I25" s="787"/>
      <c r="J25" s="787"/>
      <c r="K25" s="787"/>
      <c r="L25" s="787"/>
      <c r="M25" s="78"/>
    </row>
    <row r="26" spans="1:13" x14ac:dyDescent="0.35">
      <c r="A26" s="78"/>
      <c r="B26" s="787"/>
      <c r="C26" s="787"/>
      <c r="D26" s="787"/>
      <c r="E26" s="787"/>
      <c r="F26" s="787"/>
      <c r="G26" s="787"/>
      <c r="H26" s="787"/>
      <c r="I26" s="787"/>
      <c r="J26" s="787"/>
      <c r="K26" s="787"/>
      <c r="L26" s="787"/>
      <c r="M26" s="78"/>
    </row>
    <row r="27" spans="1:13" x14ac:dyDescent="0.35">
      <c r="A27" s="78"/>
      <c r="B27" s="80"/>
      <c r="C27" s="80"/>
      <c r="D27" s="80"/>
      <c r="E27" s="80"/>
      <c r="F27" s="80"/>
      <c r="G27" s="80"/>
      <c r="H27" s="80"/>
      <c r="I27" s="80"/>
      <c r="J27" s="80"/>
      <c r="K27" s="80"/>
      <c r="L27" s="80"/>
      <c r="M27" s="78"/>
    </row>
  </sheetData>
  <mergeCells count="9">
    <mergeCell ref="B18:L20"/>
    <mergeCell ref="B21:L22"/>
    <mergeCell ref="B23:L26"/>
    <mergeCell ref="B4:L4"/>
    <mergeCell ref="B5:L5"/>
    <mergeCell ref="B6:L6"/>
    <mergeCell ref="B7:L7"/>
    <mergeCell ref="B14:C14"/>
    <mergeCell ref="B15:L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71CDC-0481-40A4-ABC9-B112EDDE34FF}">
  <sheetPr codeName="Sheet9">
    <tabColor theme="5" tint="-0.499984740745262"/>
  </sheetPr>
  <dimension ref="A2:AT73"/>
  <sheetViews>
    <sheetView topLeftCell="A4" zoomScale="90" zoomScaleNormal="90" workbookViewId="0">
      <selection activeCell="G28" sqref="G28"/>
    </sheetView>
  </sheetViews>
  <sheetFormatPr defaultRowHeight="14.5" x14ac:dyDescent="0.35"/>
  <cols>
    <col min="1" max="1" width="1.453125" customWidth="1"/>
    <col min="2" max="2" width="47.453125" customWidth="1"/>
    <col min="3" max="3" width="36.54296875" customWidth="1"/>
    <col min="5" max="5" width="14.1796875" bestFit="1" customWidth="1"/>
    <col min="6" max="6" width="22.54296875" customWidth="1"/>
    <col min="7" max="7" width="26.54296875" customWidth="1"/>
    <col min="8" max="8" width="23.453125" customWidth="1"/>
    <col min="9" max="10" width="15.54296875" customWidth="1"/>
    <col min="11" max="11" width="36.54296875" customWidth="1"/>
    <col min="12" max="12" width="17.54296875" customWidth="1"/>
    <col min="13" max="13" width="20.453125" customWidth="1"/>
    <col min="14" max="17" width="15.54296875" customWidth="1"/>
    <col min="18" max="18" width="23" customWidth="1"/>
    <col min="19" max="19" width="21.453125" customWidth="1"/>
    <col min="20" max="36" width="18.453125" customWidth="1"/>
    <col min="37" max="37" width="13.54296875" customWidth="1"/>
    <col min="38" max="46" width="13.81640625" customWidth="1"/>
  </cols>
  <sheetData>
    <row r="2" spans="1:41" x14ac:dyDescent="0.35">
      <c r="A2" s="1"/>
      <c r="B2" s="2" t="s">
        <v>35</v>
      </c>
      <c r="C2" s="2" t="s">
        <v>36</v>
      </c>
      <c r="D2" s="1"/>
      <c r="E2" s="1"/>
      <c r="F2" s="1"/>
      <c r="G2" s="76"/>
      <c r="H2" s="2"/>
      <c r="I2" s="2" t="s">
        <v>410</v>
      </c>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row>
    <row r="3" spans="1:41" x14ac:dyDescent="0.35">
      <c r="A3" s="1"/>
      <c r="B3" s="1" t="s">
        <v>37</v>
      </c>
      <c r="C3" s="1">
        <f>Inputs!D8</f>
        <v>2024</v>
      </c>
      <c r="D3" s="1"/>
      <c r="E3" s="1"/>
      <c r="F3" s="1"/>
      <c r="H3" s="30" t="str">
        <f>Inputs!B11</f>
        <v>Project Open Year</v>
      </c>
      <c r="I3" s="161">
        <f>Inputs!D11</f>
        <v>2033</v>
      </c>
      <c r="J3" s="1"/>
      <c r="K3" s="591"/>
      <c r="L3" s="591"/>
      <c r="M3" s="591"/>
      <c r="N3" s="591"/>
      <c r="O3" s="591"/>
      <c r="P3" s="591"/>
      <c r="Q3" s="591"/>
      <c r="R3" s="591"/>
      <c r="S3" s="591"/>
      <c r="T3" s="1"/>
      <c r="U3" s="1"/>
      <c r="V3" s="1"/>
      <c r="W3" s="1"/>
      <c r="X3" s="1"/>
      <c r="Y3" s="1"/>
      <c r="Z3" s="1"/>
      <c r="AA3" s="1"/>
      <c r="AB3" s="1"/>
      <c r="AC3" s="1"/>
      <c r="AD3" s="1"/>
      <c r="AE3" s="1"/>
      <c r="AF3" s="1"/>
      <c r="AG3" s="1"/>
      <c r="AH3" s="1"/>
      <c r="AI3" s="1"/>
      <c r="AJ3" s="1"/>
      <c r="AK3" s="1"/>
      <c r="AL3" s="1"/>
      <c r="AM3" s="1"/>
      <c r="AN3" s="1"/>
      <c r="AO3" s="1"/>
    </row>
    <row r="4" spans="1:41" x14ac:dyDescent="0.35">
      <c r="A4" s="1"/>
      <c r="B4" s="1" t="s">
        <v>38</v>
      </c>
      <c r="C4" s="1">
        <f>Inputs!D11</f>
        <v>2033</v>
      </c>
      <c r="D4" s="1"/>
      <c r="E4" s="1"/>
      <c r="F4" s="1"/>
      <c r="H4" s="30" t="str">
        <f>Inputs!B21</f>
        <v>Roundtrip Factor</v>
      </c>
      <c r="I4" s="161">
        <f>Inputs!D21</f>
        <v>2</v>
      </c>
      <c r="J4" s="1"/>
      <c r="K4" s="591"/>
      <c r="L4" s="591"/>
      <c r="M4" s="591"/>
      <c r="N4" s="591"/>
      <c r="O4" s="591"/>
      <c r="P4" s="591"/>
      <c r="Q4" s="591"/>
      <c r="R4" s="591"/>
      <c r="S4" s="591"/>
      <c r="T4" s="1"/>
      <c r="U4" s="1"/>
      <c r="V4" s="1"/>
      <c r="W4" s="1"/>
      <c r="X4" s="1"/>
      <c r="Y4" s="1"/>
      <c r="Z4" s="1"/>
      <c r="AA4" s="1"/>
      <c r="AB4" s="1"/>
      <c r="AC4" s="1"/>
      <c r="AD4" s="1"/>
      <c r="AE4" s="1"/>
      <c r="AF4" s="1"/>
      <c r="AG4" s="1"/>
      <c r="AH4" s="1"/>
      <c r="AI4" s="1"/>
      <c r="AJ4" s="1"/>
      <c r="AK4" s="1"/>
      <c r="AL4" s="1"/>
      <c r="AM4" s="1"/>
      <c r="AN4" s="1"/>
      <c r="AO4" s="1"/>
    </row>
    <row r="5" spans="1:41" x14ac:dyDescent="0.35">
      <c r="A5" s="1"/>
      <c r="B5" s="1" t="s">
        <v>39</v>
      </c>
      <c r="C5" s="1">
        <f>Inputs!D13</f>
        <v>2052</v>
      </c>
      <c r="D5" s="1"/>
      <c r="E5" s="1"/>
      <c r="F5" s="1"/>
      <c r="H5" s="30" t="str">
        <f>Inputs!B23</f>
        <v>Year FAF Data is Presented</v>
      </c>
      <c r="I5" s="370">
        <f>Inputs!D23</f>
        <v>2024</v>
      </c>
      <c r="J5" s="3"/>
      <c r="K5" s="591"/>
      <c r="L5" s="591"/>
      <c r="M5" s="591"/>
      <c r="N5" s="838"/>
      <c r="O5" s="838"/>
      <c r="P5" s="838"/>
      <c r="Q5" s="838"/>
      <c r="R5" s="838"/>
      <c r="S5" s="591"/>
      <c r="T5" s="1"/>
      <c r="U5" s="1"/>
      <c r="V5" s="1"/>
      <c r="W5" s="1"/>
      <c r="X5" s="1"/>
      <c r="Y5" s="1"/>
      <c r="Z5" s="1"/>
      <c r="AA5" s="1"/>
      <c r="AB5" s="1"/>
      <c r="AC5" s="1"/>
      <c r="AD5" s="1"/>
      <c r="AE5" s="1"/>
      <c r="AF5" s="1"/>
      <c r="AG5" s="1"/>
      <c r="AH5" s="1"/>
      <c r="AI5" s="1"/>
      <c r="AJ5" s="1"/>
      <c r="AK5" s="1"/>
      <c r="AL5" s="1"/>
      <c r="AM5" s="1"/>
      <c r="AN5" s="1"/>
      <c r="AO5" s="1"/>
    </row>
    <row r="6" spans="1:41" x14ac:dyDescent="0.35">
      <c r="A6" s="1"/>
      <c r="B6" s="1" t="s">
        <v>40</v>
      </c>
      <c r="C6" s="1">
        <f>Inputs!D14</f>
        <v>20</v>
      </c>
      <c r="D6" s="1"/>
      <c r="E6" s="1"/>
      <c r="F6" s="1"/>
      <c r="H6" s="30" t="str">
        <f>Inputs!B32</f>
        <v>Assumed Truck Average Speed</v>
      </c>
      <c r="I6" s="68">
        <f>Inputs!D32</f>
        <v>55</v>
      </c>
      <c r="J6" s="1"/>
      <c r="K6" s="591"/>
      <c r="L6" s="700"/>
      <c r="M6" s="700"/>
      <c r="N6" s="700"/>
      <c r="O6" s="700"/>
      <c r="P6" s="700"/>
      <c r="Q6" s="700"/>
      <c r="R6" s="700"/>
      <c r="S6" s="701"/>
      <c r="T6" s="1"/>
      <c r="U6" s="1"/>
      <c r="V6" s="1"/>
      <c r="W6" s="1"/>
      <c r="X6" s="1"/>
      <c r="Y6" s="1"/>
      <c r="Z6" s="1"/>
      <c r="AA6" s="1"/>
      <c r="AB6" s="1"/>
      <c r="AC6" s="1"/>
      <c r="AD6" s="1"/>
      <c r="AE6" s="1"/>
      <c r="AF6" s="1"/>
      <c r="AG6" s="1"/>
      <c r="AH6" s="1"/>
      <c r="AI6" s="1"/>
      <c r="AJ6" s="1"/>
      <c r="AK6" s="1"/>
      <c r="AL6" s="1"/>
      <c r="AM6" s="1"/>
      <c r="AN6" s="1"/>
      <c r="AO6" s="1"/>
    </row>
    <row r="7" spans="1:41" x14ac:dyDescent="0.35">
      <c r="A7" s="1"/>
      <c r="B7" s="1" t="s">
        <v>41</v>
      </c>
      <c r="C7" s="10">
        <f>Inputs!D15</f>
        <v>7.0000000000000007E-2</v>
      </c>
      <c r="D7" s="1"/>
      <c r="E7" s="1"/>
      <c r="F7" s="1"/>
      <c r="H7" s="30" t="str">
        <f>Inputs!B46</f>
        <v>Number of Containers per Train</v>
      </c>
      <c r="I7" s="69">
        <f>Inputs!D46</f>
        <v>164</v>
      </c>
      <c r="J7" s="1"/>
      <c r="K7" s="592" t="s">
        <v>411</v>
      </c>
      <c r="L7" s="702"/>
      <c r="M7" s="703"/>
      <c r="N7" s="703"/>
      <c r="O7" s="703"/>
      <c r="P7" s="703"/>
      <c r="Q7" s="703"/>
      <c r="R7" s="703"/>
      <c r="S7" s="702"/>
      <c r="T7" s="1"/>
      <c r="U7" s="1"/>
      <c r="V7" s="1"/>
      <c r="W7" s="1"/>
      <c r="X7" s="1"/>
      <c r="Y7" s="1"/>
      <c r="Z7" s="1"/>
      <c r="AA7" s="1"/>
      <c r="AB7" s="1"/>
      <c r="AC7" s="1"/>
      <c r="AD7" s="1"/>
      <c r="AE7" s="1"/>
      <c r="AF7" s="1"/>
      <c r="AG7" s="1"/>
      <c r="AH7" s="1"/>
      <c r="AI7" s="1"/>
      <c r="AJ7" s="1"/>
      <c r="AK7" s="1"/>
      <c r="AL7" s="1"/>
      <c r="AM7" s="1"/>
      <c r="AN7" s="1"/>
      <c r="AO7" s="1"/>
    </row>
    <row r="8" spans="1:41" ht="15" thickBot="1" x14ac:dyDescent="0.4">
      <c r="A8" s="4"/>
      <c r="B8" s="4"/>
      <c r="C8" s="4"/>
      <c r="D8" s="1"/>
      <c r="E8" s="1"/>
      <c r="F8" s="1"/>
      <c r="H8" s="30" t="str">
        <f>Inputs!B47</f>
        <v>Intermodal Train Speed</v>
      </c>
      <c r="I8" s="523">
        <f>Inputs!D47</f>
        <v>24.5</v>
      </c>
      <c r="J8" s="2" t="s">
        <v>412</v>
      </c>
      <c r="K8" s="592" t="s">
        <v>413</v>
      </c>
      <c r="L8" s="702"/>
      <c r="M8" s="703"/>
      <c r="N8" s="703"/>
      <c r="O8" s="703"/>
      <c r="P8" s="703"/>
      <c r="Q8" s="703"/>
      <c r="R8" s="703"/>
      <c r="S8" s="702"/>
      <c r="T8" s="1"/>
      <c r="U8" s="1"/>
      <c r="V8" s="1"/>
      <c r="W8" s="1"/>
      <c r="X8" s="1"/>
      <c r="Y8" s="1"/>
      <c r="Z8" s="1"/>
      <c r="AA8" s="1"/>
      <c r="AB8" s="1"/>
      <c r="AC8" s="1"/>
      <c r="AD8" s="1"/>
      <c r="AE8" s="1"/>
      <c r="AF8" s="1"/>
      <c r="AG8" s="1"/>
      <c r="AH8" s="1"/>
      <c r="AI8" s="1"/>
      <c r="AJ8" s="1"/>
      <c r="AK8" s="1"/>
      <c r="AL8" s="1"/>
      <c r="AM8" s="1"/>
      <c r="AN8" s="1"/>
      <c r="AO8" s="1"/>
    </row>
    <row r="9" spans="1:41" ht="16.399999999999999" customHeight="1" x14ac:dyDescent="0.35">
      <c r="B9" s="28"/>
      <c r="C9" s="28"/>
      <c r="D9" s="1"/>
      <c r="E9" s="1"/>
      <c r="F9" s="1"/>
      <c r="H9" s="30" t="str">
        <f>Inputs!B28</f>
        <v>Rest of AL - Truck Trip Miles - No Build</v>
      </c>
      <c r="I9" s="69">
        <f>Inputs!D28</f>
        <v>23522533.315789472</v>
      </c>
      <c r="J9" s="699">
        <f>I9*$I$4</f>
        <v>47045066.631578945</v>
      </c>
      <c r="K9" s="591"/>
      <c r="L9" s="703"/>
      <c r="M9" s="703"/>
      <c r="N9" s="703"/>
      <c r="O9" s="703"/>
      <c r="P9" s="703"/>
      <c r="Q9" s="703"/>
      <c r="R9" s="591"/>
      <c r="S9" s="591"/>
      <c r="T9" s="1"/>
      <c r="U9" s="1"/>
      <c r="V9" s="1"/>
      <c r="W9" s="1"/>
      <c r="X9" s="1"/>
      <c r="Y9" s="1"/>
      <c r="Z9" s="1"/>
      <c r="AA9" s="1"/>
      <c r="AB9" s="1"/>
      <c r="AC9" s="1"/>
      <c r="AD9" s="1"/>
      <c r="AE9" s="1"/>
      <c r="AF9" s="1"/>
      <c r="AG9" s="1"/>
      <c r="AH9" s="1"/>
      <c r="AI9" s="1"/>
      <c r="AJ9" s="1"/>
      <c r="AK9" s="1"/>
      <c r="AL9" s="1"/>
      <c r="AM9" s="1"/>
      <c r="AN9" s="1"/>
      <c r="AO9" s="1"/>
    </row>
    <row r="10" spans="1:41" ht="14.15" customHeight="1" x14ac:dyDescent="0.35">
      <c r="A10" s="28"/>
      <c r="D10" s="1"/>
      <c r="E10" s="1"/>
      <c r="F10" s="1"/>
      <c r="H10" s="30" t="str">
        <f>Inputs!B42</f>
        <v>Rest of AL - Rail Trip Miles- No Build</v>
      </c>
      <c r="I10" s="69">
        <f>Inputs!D42</f>
        <v>15559.803470795889</v>
      </c>
      <c r="J10" s="699">
        <f>I10*$I$4</f>
        <v>31119.606941591777</v>
      </c>
      <c r="K10" s="591"/>
      <c r="L10" s="703"/>
      <c r="M10" s="703"/>
      <c r="N10" s="703"/>
      <c r="O10" s="703"/>
      <c r="P10" s="703"/>
      <c r="Q10" s="703"/>
      <c r="R10" s="591"/>
      <c r="S10" s="591"/>
      <c r="T10" s="1"/>
      <c r="U10" s="1"/>
      <c r="V10" s="1"/>
      <c r="W10" s="1"/>
      <c r="X10" s="1"/>
      <c r="Y10" s="1"/>
      <c r="Z10" s="1"/>
      <c r="AA10" s="1"/>
      <c r="AB10" s="1"/>
      <c r="AC10" s="1"/>
      <c r="AD10" s="1"/>
      <c r="AE10" s="1"/>
      <c r="AF10" s="1"/>
      <c r="AG10" s="1"/>
      <c r="AH10" s="1"/>
      <c r="AI10" s="1"/>
      <c r="AJ10" s="1"/>
      <c r="AK10" s="1"/>
      <c r="AL10" s="1"/>
      <c r="AM10" s="1"/>
      <c r="AN10" s="1"/>
      <c r="AO10" s="1"/>
    </row>
    <row r="11" spans="1:41" ht="17.149999999999999" customHeight="1" x14ac:dyDescent="0.35">
      <c r="A11" s="28"/>
      <c r="B11" s="28"/>
      <c r="C11" s="28"/>
      <c r="D11" s="1"/>
      <c r="E11" s="1"/>
      <c r="F11" s="1"/>
      <c r="H11" s="30" t="s">
        <v>414</v>
      </c>
      <c r="I11" s="69">
        <f>I10/I7</f>
        <v>94.876850431682243</v>
      </c>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row>
    <row r="12" spans="1:41" ht="17.149999999999999" customHeight="1" x14ac:dyDescent="0.35">
      <c r="A12" s="28"/>
      <c r="B12" s="28"/>
      <c r="C12" s="28"/>
      <c r="D12" s="1"/>
      <c r="E12" s="1"/>
      <c r="F12" s="1"/>
      <c r="H12" s="30" t="str">
        <f>Inputs!B45</f>
        <v>Estimated Miles Traveled on Rail</v>
      </c>
      <c r="I12" s="69">
        <f>Inputs!D45</f>
        <v>165</v>
      </c>
      <c r="J12" s="2" t="s">
        <v>412</v>
      </c>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row>
    <row r="13" spans="1:41" ht="30.65" customHeight="1" x14ac:dyDescent="0.35">
      <c r="A13" s="28"/>
      <c r="B13" s="28"/>
      <c r="C13" s="28"/>
      <c r="D13" s="1"/>
      <c r="E13" s="1"/>
      <c r="F13" s="1"/>
      <c r="H13" s="30" t="str">
        <f>Inputs!B29</f>
        <v>Rest of AL - Truck Trip Miles - Build</v>
      </c>
      <c r="I13" s="69">
        <f>Inputs!D29</f>
        <v>20474965.314526312</v>
      </c>
      <c r="J13" s="699">
        <f>I13*$I$4</f>
        <v>40949930.629052624</v>
      </c>
      <c r="K13" s="517" t="s">
        <v>415</v>
      </c>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row>
    <row r="14" spans="1:41" ht="17.149999999999999" customHeight="1" x14ac:dyDescent="0.35">
      <c r="A14" s="28"/>
      <c r="B14" s="28"/>
      <c r="C14" s="28"/>
      <c r="D14" s="1"/>
      <c r="E14" s="1"/>
      <c r="F14" s="1"/>
      <c r="H14" s="30" t="str">
        <f>Inputs!B30</f>
        <v>Rest of AL - Truck Trip Miles - (Project Impacts / Implementation Period)</v>
      </c>
      <c r="I14" s="69">
        <f>Inputs!D30</f>
        <v>-609513.60025263205</v>
      </c>
      <c r="J14" s="699">
        <f>I14*$I$4</f>
        <v>-1219027.2005052641</v>
      </c>
      <c r="K14" s="699">
        <f>$I$17*J14</f>
        <v>-6095136.0025263205</v>
      </c>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row>
    <row r="15" spans="1:41" ht="28.4" customHeight="1" x14ac:dyDescent="0.35">
      <c r="A15" s="28"/>
      <c r="B15" s="28"/>
      <c r="C15" s="28"/>
      <c r="D15" s="1"/>
      <c r="E15" s="1"/>
      <c r="F15" s="1"/>
      <c r="H15" s="30" t="str">
        <f>Inputs!B43</f>
        <v>Rest of AL - Rail Trip Miles - Build</v>
      </c>
      <c r="I15" s="69">
        <f>Inputs!D43</f>
        <v>39145.578339858803</v>
      </c>
      <c r="J15" s="699">
        <f>I15*$I$4</f>
        <v>78291.156679717606</v>
      </c>
      <c r="K15" s="517" t="s">
        <v>416</v>
      </c>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row>
    <row r="16" spans="1:41" ht="20.149999999999999" customHeight="1" x14ac:dyDescent="0.35">
      <c r="A16" s="28"/>
      <c r="B16" s="28"/>
      <c r="C16" s="28"/>
      <c r="D16" s="1"/>
      <c r="E16" s="1"/>
      <c r="F16" s="1"/>
      <c r="H16" s="30" t="str">
        <f>Inputs!B44</f>
        <v>Rest of AL - Rail Trip Miles - (Project Impacts / Implementation Period)</v>
      </c>
      <c r="I16" s="69">
        <f>Inputs!D44</f>
        <v>4717.1549738125832</v>
      </c>
      <c r="J16" s="699">
        <f>I16*$I$4</f>
        <v>9434.3099476251664</v>
      </c>
      <c r="K16" s="699">
        <f>$I$17*J16</f>
        <v>47171.549738125832</v>
      </c>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row>
    <row r="17" spans="1:46" ht="20.149999999999999" customHeight="1" x14ac:dyDescent="0.35">
      <c r="A17" s="28"/>
      <c r="B17" s="28"/>
      <c r="C17" s="28"/>
      <c r="D17" s="1"/>
      <c r="E17" s="1"/>
      <c r="G17" s="187"/>
      <c r="H17" s="187" t="str">
        <f>Inputs!B24</f>
        <v>Implementation Period</v>
      </c>
      <c r="I17" s="70">
        <f>Inputs!D24</f>
        <v>5</v>
      </c>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row>
    <row r="18" spans="1:46" ht="21.65" customHeight="1" x14ac:dyDescent="0.35">
      <c r="A18" s="28"/>
      <c r="B18" s="28"/>
      <c r="C18" s="28"/>
      <c r="D18" s="1"/>
      <c r="E18" s="1"/>
      <c r="F18" s="1"/>
      <c r="I18" s="30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row>
    <row r="19" spans="1:46" x14ac:dyDescent="0.35">
      <c r="A19" s="793"/>
      <c r="B19" s="793"/>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row>
    <row r="20" spans="1:46" x14ac:dyDescent="0.35">
      <c r="A20" s="794" t="s">
        <v>42</v>
      </c>
      <c r="B20" s="794"/>
      <c r="C20" s="2"/>
      <c r="D20" s="2"/>
      <c r="E20" s="2"/>
      <c r="F20" s="2"/>
      <c r="G20" s="2">
        <f>C3</f>
        <v>2024</v>
      </c>
      <c r="H20" s="2">
        <f>G20+1</f>
        <v>2025</v>
      </c>
      <c r="I20" s="2">
        <f t="shared" ref="I20:AT20" si="0">H20+1</f>
        <v>2026</v>
      </c>
      <c r="J20" s="2">
        <f t="shared" si="0"/>
        <v>2027</v>
      </c>
      <c r="K20" s="2">
        <f t="shared" si="0"/>
        <v>2028</v>
      </c>
      <c r="L20" s="2">
        <f t="shared" si="0"/>
        <v>2029</v>
      </c>
      <c r="M20" s="2">
        <f t="shared" si="0"/>
        <v>2030</v>
      </c>
      <c r="N20" s="2">
        <f t="shared" si="0"/>
        <v>2031</v>
      </c>
      <c r="O20" s="2">
        <f t="shared" si="0"/>
        <v>2032</v>
      </c>
      <c r="P20" s="2">
        <f t="shared" si="0"/>
        <v>2033</v>
      </c>
      <c r="Q20" s="2">
        <f t="shared" si="0"/>
        <v>2034</v>
      </c>
      <c r="R20" s="2">
        <f t="shared" si="0"/>
        <v>2035</v>
      </c>
      <c r="S20" s="2">
        <f t="shared" si="0"/>
        <v>2036</v>
      </c>
      <c r="T20" s="2">
        <f t="shared" si="0"/>
        <v>2037</v>
      </c>
      <c r="U20" s="2">
        <f t="shared" si="0"/>
        <v>2038</v>
      </c>
      <c r="V20" s="2">
        <f t="shared" si="0"/>
        <v>2039</v>
      </c>
      <c r="W20" s="2">
        <f t="shared" si="0"/>
        <v>2040</v>
      </c>
      <c r="X20" s="2">
        <f t="shared" si="0"/>
        <v>2041</v>
      </c>
      <c r="Y20" s="2">
        <f t="shared" si="0"/>
        <v>2042</v>
      </c>
      <c r="Z20" s="2">
        <f t="shared" si="0"/>
        <v>2043</v>
      </c>
      <c r="AA20" s="2">
        <f t="shared" si="0"/>
        <v>2044</v>
      </c>
      <c r="AB20" s="2">
        <f t="shared" si="0"/>
        <v>2045</v>
      </c>
      <c r="AC20" s="2">
        <f t="shared" si="0"/>
        <v>2046</v>
      </c>
      <c r="AD20" s="2">
        <f t="shared" si="0"/>
        <v>2047</v>
      </c>
      <c r="AE20" s="2">
        <f t="shared" si="0"/>
        <v>2048</v>
      </c>
      <c r="AF20" s="2">
        <f t="shared" si="0"/>
        <v>2049</v>
      </c>
      <c r="AG20" s="2">
        <f t="shared" si="0"/>
        <v>2050</v>
      </c>
      <c r="AH20" s="2">
        <f t="shared" si="0"/>
        <v>2051</v>
      </c>
      <c r="AI20" s="2">
        <f t="shared" si="0"/>
        <v>2052</v>
      </c>
      <c r="AJ20" s="2">
        <f t="shared" si="0"/>
        <v>2053</v>
      </c>
      <c r="AK20" s="2">
        <f t="shared" si="0"/>
        <v>2054</v>
      </c>
      <c r="AL20" s="2">
        <f t="shared" si="0"/>
        <v>2055</v>
      </c>
      <c r="AM20" s="2">
        <f t="shared" si="0"/>
        <v>2056</v>
      </c>
      <c r="AN20" s="2">
        <f t="shared" si="0"/>
        <v>2057</v>
      </c>
      <c r="AO20" s="2">
        <f t="shared" si="0"/>
        <v>2058</v>
      </c>
      <c r="AP20" s="2">
        <f t="shared" si="0"/>
        <v>2059</v>
      </c>
      <c r="AQ20" s="2">
        <f t="shared" si="0"/>
        <v>2060</v>
      </c>
      <c r="AR20" s="2">
        <f t="shared" si="0"/>
        <v>2061</v>
      </c>
      <c r="AS20" s="2">
        <f t="shared" si="0"/>
        <v>2062</v>
      </c>
      <c r="AT20" s="2">
        <f t="shared" si="0"/>
        <v>2063</v>
      </c>
    </row>
    <row r="21" spans="1:46" x14ac:dyDescent="0.35">
      <c r="A21" s="794" t="s">
        <v>286</v>
      </c>
      <c r="B21" s="794"/>
      <c r="C21" s="1"/>
      <c r="D21" s="1"/>
      <c r="E21" s="1"/>
      <c r="F21" s="1"/>
      <c r="G21" s="11">
        <f t="shared" ref="G21:AH21" si="1">IF(G20="","",1/((1+$C$7)^(G20-$C$3)))</f>
        <v>1</v>
      </c>
      <c r="H21" s="11">
        <f t="shared" si="1"/>
        <v>0.93457943925233644</v>
      </c>
      <c r="I21" s="11">
        <f t="shared" si="1"/>
        <v>0.87343872827321156</v>
      </c>
      <c r="J21" s="11">
        <f t="shared" si="1"/>
        <v>0.81629787689085187</v>
      </c>
      <c r="K21" s="11">
        <f t="shared" si="1"/>
        <v>0.7628952120475252</v>
      </c>
      <c r="L21" s="11">
        <f t="shared" si="1"/>
        <v>0.71298617948366838</v>
      </c>
      <c r="M21" s="11">
        <f t="shared" si="1"/>
        <v>0.66634222381651254</v>
      </c>
      <c r="N21" s="11">
        <f t="shared" si="1"/>
        <v>0.62274974188459109</v>
      </c>
      <c r="O21" s="11">
        <f t="shared" si="1"/>
        <v>0.5820091045650384</v>
      </c>
      <c r="P21" s="11">
        <f t="shared" si="1"/>
        <v>0.54393374258414806</v>
      </c>
      <c r="Q21" s="11">
        <f t="shared" si="1"/>
        <v>0.5083492921347178</v>
      </c>
      <c r="R21" s="11">
        <f t="shared" si="1"/>
        <v>0.47509279638758667</v>
      </c>
      <c r="S21" s="11">
        <f t="shared" si="1"/>
        <v>0.44401195924073528</v>
      </c>
      <c r="T21" s="11">
        <f t="shared" si="1"/>
        <v>0.41496444788853759</v>
      </c>
      <c r="U21" s="11">
        <f t="shared" si="1"/>
        <v>0.3878172410173249</v>
      </c>
      <c r="V21" s="11">
        <f t="shared" si="1"/>
        <v>0.36244601964235967</v>
      </c>
      <c r="W21" s="11">
        <f t="shared" si="1"/>
        <v>0.33873459779659787</v>
      </c>
      <c r="X21" s="11">
        <f t="shared" si="1"/>
        <v>0.31657439046411018</v>
      </c>
      <c r="Y21" s="11">
        <f t="shared" si="1"/>
        <v>0.29586391632159825</v>
      </c>
      <c r="Z21" s="11">
        <f t="shared" si="1"/>
        <v>0.27650833301083949</v>
      </c>
      <c r="AA21" s="11">
        <f t="shared" si="1"/>
        <v>0.2584190028138687</v>
      </c>
      <c r="AB21" s="11">
        <f t="shared" si="1"/>
        <v>0.24151308674193336</v>
      </c>
      <c r="AC21" s="11">
        <f t="shared" si="1"/>
        <v>0.22571316517937698</v>
      </c>
      <c r="AD21" s="11">
        <f t="shared" si="1"/>
        <v>0.21094688334521211</v>
      </c>
      <c r="AE21" s="11">
        <f t="shared" si="1"/>
        <v>0.19714661994879637</v>
      </c>
      <c r="AF21" s="11">
        <f t="shared" si="1"/>
        <v>0.18424917752223957</v>
      </c>
      <c r="AG21" s="11">
        <f t="shared" si="1"/>
        <v>0.17219549301143888</v>
      </c>
      <c r="AH21" s="11">
        <f t="shared" si="1"/>
        <v>0.16093036730041013</v>
      </c>
      <c r="AI21" s="11">
        <f>IF(AI20="","",1/((1+$C$7)^(AI20-$C$3)))</f>
        <v>0.15040221243028987</v>
      </c>
      <c r="AJ21" s="11">
        <f>IF(AJ20="","",1/((1+$C$7)^(AJ20-$C$3)))</f>
        <v>0.1405628153554111</v>
      </c>
      <c r="AK21" s="11">
        <f>IF(AK20="","",1/((1+$C$7)^(AK20-$C$3)))</f>
        <v>0.13136711715458982</v>
      </c>
      <c r="AL21" s="11">
        <f t="shared" ref="AL21:AT21" si="2">IF(AL20="","",1/((1+$C$7)^(AL20-$C$3)))</f>
        <v>0.1227730066865325</v>
      </c>
      <c r="AM21" s="11">
        <f t="shared" si="2"/>
        <v>0.11474112774442291</v>
      </c>
      <c r="AN21" s="11">
        <f t="shared" si="2"/>
        <v>0.10723469882656347</v>
      </c>
      <c r="AO21" s="11">
        <f t="shared" si="2"/>
        <v>0.10021934469772288</v>
      </c>
      <c r="AP21" s="11">
        <f t="shared" si="2"/>
        <v>9.366293896983445E-2</v>
      </c>
      <c r="AQ21" s="11">
        <f t="shared" si="2"/>
        <v>8.7535456981153698E-2</v>
      </c>
      <c r="AR21" s="11">
        <f t="shared" si="2"/>
        <v>8.1808838300143641E-2</v>
      </c>
      <c r="AS21" s="11">
        <f t="shared" si="2"/>
        <v>7.6456858224433308E-2</v>
      </c>
      <c r="AT21" s="11">
        <f t="shared" si="2"/>
        <v>7.1455007686386268E-2</v>
      </c>
    </row>
    <row r="22" spans="1:46" x14ac:dyDescent="0.35">
      <c r="A22" s="794" t="s">
        <v>44</v>
      </c>
      <c r="B22" s="794"/>
      <c r="G22">
        <f t="shared" ref="G22:AH22" si="3">IF(AND(G20&gt;=$C$4,G20&lt;=$C$5),1,0)</f>
        <v>0</v>
      </c>
      <c r="H22">
        <f t="shared" si="3"/>
        <v>0</v>
      </c>
      <c r="I22">
        <f t="shared" si="3"/>
        <v>0</v>
      </c>
      <c r="J22">
        <f t="shared" si="3"/>
        <v>0</v>
      </c>
      <c r="K22">
        <f t="shared" si="3"/>
        <v>0</v>
      </c>
      <c r="L22">
        <f t="shared" si="3"/>
        <v>0</v>
      </c>
      <c r="M22">
        <f t="shared" si="3"/>
        <v>0</v>
      </c>
      <c r="N22">
        <f t="shared" si="3"/>
        <v>0</v>
      </c>
      <c r="O22">
        <f t="shared" si="3"/>
        <v>0</v>
      </c>
      <c r="P22">
        <f t="shared" si="3"/>
        <v>1</v>
      </c>
      <c r="Q22">
        <f t="shared" si="3"/>
        <v>1</v>
      </c>
      <c r="R22">
        <f t="shared" si="3"/>
        <v>1</v>
      </c>
      <c r="S22">
        <f t="shared" si="3"/>
        <v>1</v>
      </c>
      <c r="T22">
        <f t="shared" si="3"/>
        <v>1</v>
      </c>
      <c r="U22">
        <f t="shared" si="3"/>
        <v>1</v>
      </c>
      <c r="V22">
        <f t="shared" si="3"/>
        <v>1</v>
      </c>
      <c r="W22">
        <f t="shared" si="3"/>
        <v>1</v>
      </c>
      <c r="X22">
        <f t="shared" si="3"/>
        <v>1</v>
      </c>
      <c r="Y22">
        <f t="shared" si="3"/>
        <v>1</v>
      </c>
      <c r="Z22">
        <f t="shared" si="3"/>
        <v>1</v>
      </c>
      <c r="AA22">
        <f t="shared" si="3"/>
        <v>1</v>
      </c>
      <c r="AB22">
        <f t="shared" si="3"/>
        <v>1</v>
      </c>
      <c r="AC22">
        <f t="shared" si="3"/>
        <v>1</v>
      </c>
      <c r="AD22">
        <f t="shared" si="3"/>
        <v>1</v>
      </c>
      <c r="AE22">
        <f t="shared" si="3"/>
        <v>1</v>
      </c>
      <c r="AF22">
        <f t="shared" si="3"/>
        <v>1</v>
      </c>
      <c r="AG22">
        <f t="shared" si="3"/>
        <v>1</v>
      </c>
      <c r="AH22">
        <f t="shared" si="3"/>
        <v>1</v>
      </c>
      <c r="AI22">
        <f>IF(AND(AI20&gt;=$C$4,AI20&lt;=$C$5),1,0)</f>
        <v>1</v>
      </c>
      <c r="AJ22">
        <f>IF(AND(AJ20&gt;=$C$4,AJ20&lt;=$C$5),1,0)</f>
        <v>0</v>
      </c>
      <c r="AK22">
        <f>IF(AND(AK20&gt;=$C$4,AK20&lt;=$C$5),1,0)</f>
        <v>0</v>
      </c>
      <c r="AL22">
        <f t="shared" ref="AL22:AT22" si="4">IF(AND(AL20&gt;=$C$4,AL20&lt;=$C$5),1,0)</f>
        <v>0</v>
      </c>
      <c r="AM22">
        <f t="shared" si="4"/>
        <v>0</v>
      </c>
      <c r="AN22">
        <f t="shared" si="4"/>
        <v>0</v>
      </c>
      <c r="AO22">
        <f t="shared" si="4"/>
        <v>0</v>
      </c>
      <c r="AP22">
        <f t="shared" si="4"/>
        <v>0</v>
      </c>
      <c r="AQ22">
        <f t="shared" si="4"/>
        <v>0</v>
      </c>
      <c r="AR22">
        <f t="shared" si="4"/>
        <v>0</v>
      </c>
      <c r="AS22">
        <f t="shared" si="4"/>
        <v>0</v>
      </c>
      <c r="AT22">
        <f t="shared" si="4"/>
        <v>0</v>
      </c>
    </row>
    <row r="23" spans="1:46" ht="4.4000000000000004" customHeight="1" thickBot="1" x14ac:dyDescent="0.4">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row>
    <row r="24" spans="1:46" x14ac:dyDescent="0.35">
      <c r="A24" s="371" t="s">
        <v>417</v>
      </c>
      <c r="B24" s="372"/>
    </row>
    <row r="25" spans="1:46" x14ac:dyDescent="0.35">
      <c r="A25" s="8"/>
    </row>
    <row r="26" spans="1:46" x14ac:dyDescent="0.35">
      <c r="A26" s="8" t="s">
        <v>178</v>
      </c>
      <c r="D26" t="s">
        <v>418</v>
      </c>
      <c r="F26" s="373" t="s">
        <v>46</v>
      </c>
    </row>
    <row r="27" spans="1:46" x14ac:dyDescent="0.35">
      <c r="B27" s="8" t="s">
        <v>419</v>
      </c>
      <c r="C27" s="34"/>
      <c r="D27" s="64">
        <f>Inputs!$D$22</f>
        <v>3.1967238428903366E-2</v>
      </c>
      <c r="F27" s="165">
        <f>SUM(G27:AT27)</f>
        <v>3709714104.6374841</v>
      </c>
      <c r="G27" s="33">
        <f>($I$9*$I$4)*(1+$D$27)^(G$20-$I$5)</f>
        <v>47045066.631578945</v>
      </c>
      <c r="H27" s="33">
        <f t="shared" ref="H27:AT27" si="5">($I$9*$I$4)*(1+$D$27)^(H$20-$I$5)</f>
        <v>48548967.493494272</v>
      </c>
      <c r="I27" s="33">
        <f t="shared" si="5"/>
        <v>50100943.912835889</v>
      </c>
      <c r="J27" s="33">
        <f t="shared" si="5"/>
        <v>51702532.732410625</v>
      </c>
      <c r="K27" s="33">
        <f t="shared" si="5"/>
        <v>53355319.923645779</v>
      </c>
      <c r="L27" s="33">
        <f t="shared" si="5"/>
        <v>55060942.157095373</v>
      </c>
      <c r="M27" s="33">
        <f t="shared" si="5"/>
        <v>56821088.423151307</v>
      </c>
      <c r="N27" s="33">
        <f t="shared" si="5"/>
        <v>58637501.704563983</v>
      </c>
      <c r="O27" s="33">
        <f t="shared" si="5"/>
        <v>60511980.702429004</v>
      </c>
      <c r="P27" s="33">
        <f t="shared" si="5"/>
        <v>62446381.617348745</v>
      </c>
      <c r="Q27" s="33">
        <f t="shared" si="5"/>
        <v>64442619.987532832</v>
      </c>
      <c r="R27" s="33">
        <f t="shared" si="5"/>
        <v>66502672.5856575</v>
      </c>
      <c r="S27" s="33">
        <f t="shared" si="5"/>
        <v>68628579.376362517</v>
      </c>
      <c r="T27" s="33">
        <f t="shared" si="5"/>
        <v>70822445.536323607</v>
      </c>
      <c r="U27" s="33">
        <f t="shared" si="5"/>
        <v>73086443.538901299</v>
      </c>
      <c r="V27" s="33">
        <f t="shared" si="5"/>
        <v>75422815.305429935</v>
      </c>
      <c r="W27" s="33">
        <f t="shared" si="5"/>
        <v>77833874.425277755</v>
      </c>
      <c r="X27" s="33">
        <f t="shared" si="5"/>
        <v>80322008.44687593</v>
      </c>
      <c r="Y27" s="33">
        <f t="shared" si="5"/>
        <v>82889681.241985604</v>
      </c>
      <c r="Z27" s="33">
        <f t="shared" si="5"/>
        <v>85539435.445543945</v>
      </c>
      <c r="AA27" s="33">
        <f t="shared" si="5"/>
        <v>88273894.973505452</v>
      </c>
      <c r="AB27" s="33">
        <f t="shared" si="5"/>
        <v>91095767.62117146</v>
      </c>
      <c r="AC27" s="33">
        <f t="shared" si="5"/>
        <v>94007847.744581446</v>
      </c>
      <c r="AD27" s="33">
        <f t="shared" si="5"/>
        <v>97013019.027620524</v>
      </c>
      <c r="AE27" s="33">
        <f t="shared" si="5"/>
        <v>100114257.3375842</v>
      </c>
      <c r="AF27" s="33">
        <f t="shared" si="5"/>
        <v>103314633.67202733</v>
      </c>
      <c r="AG27" s="33">
        <f t="shared" si="5"/>
        <v>106617317.19981587</v>
      </c>
      <c r="AH27" s="33">
        <f t="shared" si="5"/>
        <v>110025578.39939238</v>
      </c>
      <c r="AI27" s="33">
        <f t="shared" si="5"/>
        <v>113542792.29736374</v>
      </c>
      <c r="AJ27" s="33">
        <f t="shared" si="5"/>
        <v>117172441.81061703</v>
      </c>
      <c r="AK27" s="33">
        <f t="shared" si="5"/>
        <v>120918121.19527383</v>
      </c>
      <c r="AL27" s="33">
        <f t="shared" si="5"/>
        <v>124783539.60589819</v>
      </c>
      <c r="AM27" s="33">
        <f t="shared" si="5"/>
        <v>128772524.76848245</v>
      </c>
      <c r="AN27" s="33">
        <f t="shared" si="5"/>
        <v>132889026.77084838</v>
      </c>
      <c r="AO27" s="33">
        <f t="shared" si="5"/>
        <v>137137121.97421703</v>
      </c>
      <c r="AP27" s="33">
        <f t="shared" si="5"/>
        <v>141521017.04982042</v>
      </c>
      <c r="AQ27" s="33">
        <f t="shared" si="5"/>
        <v>146045053.14455295</v>
      </c>
      <c r="AR27" s="33">
        <f t="shared" si="5"/>
        <v>150713710.17978671</v>
      </c>
      <c r="AS27" s="33">
        <f t="shared" si="5"/>
        <v>155531611.28760859</v>
      </c>
      <c r="AT27" s="33">
        <f t="shared" si="5"/>
        <v>160503527.38887107</v>
      </c>
    </row>
    <row r="28" spans="1:46" x14ac:dyDescent="0.35">
      <c r="B28" s="8" t="s">
        <v>420</v>
      </c>
      <c r="F28" s="165">
        <f>SUM(G28:AT28)</f>
        <v>67449347.357045144</v>
      </c>
      <c r="G28" s="18">
        <f>G27/$I$6</f>
        <v>855364.84784688987</v>
      </c>
      <c r="H28" s="18">
        <f t="shared" ref="H28:AT28" si="6">H27/$I$6</f>
        <v>882708.499881714</v>
      </c>
      <c r="I28" s="18">
        <f t="shared" si="6"/>
        <v>910926.25296065246</v>
      </c>
      <c r="J28" s="18">
        <f t="shared" si="6"/>
        <v>940046.04968019319</v>
      </c>
      <c r="K28" s="18">
        <f t="shared" si="6"/>
        <v>970096.72588446876</v>
      </c>
      <c r="L28" s="18">
        <f t="shared" si="6"/>
        <v>1001108.0392199159</v>
      </c>
      <c r="M28" s="18">
        <f t="shared" si="6"/>
        <v>1033110.698602751</v>
      </c>
      <c r="N28" s="18">
        <f t="shared" si="6"/>
        <v>1066136.3946284361</v>
      </c>
      <c r="O28" s="18">
        <f t="shared" si="6"/>
        <v>1100217.8309532546</v>
      </c>
      <c r="P28" s="18">
        <f t="shared" si="6"/>
        <v>1135388.7566790681</v>
      </c>
      <c r="Q28" s="18">
        <f t="shared" si="6"/>
        <v>1171683.9997733242</v>
      </c>
      <c r="R28" s="18">
        <f t="shared" si="6"/>
        <v>1209139.5015574091</v>
      </c>
      <c r="S28" s="18">
        <f t="shared" si="6"/>
        <v>1247792.3522975002</v>
      </c>
      <c r="T28" s="18">
        <f t="shared" si="6"/>
        <v>1287680.8279331564</v>
      </c>
      <c r="U28" s="18">
        <f t="shared" si="6"/>
        <v>1328844.4279800237</v>
      </c>
      <c r="V28" s="18">
        <f t="shared" si="6"/>
        <v>1371323.9146441806</v>
      </c>
      <c r="W28" s="18">
        <f t="shared" si="6"/>
        <v>1415161.3531868684</v>
      </c>
      <c r="X28" s="18">
        <f t="shared" si="6"/>
        <v>1460400.1535795624</v>
      </c>
      <c r="Y28" s="18">
        <f t="shared" si="6"/>
        <v>1507085.1134906474</v>
      </c>
      <c r="Z28" s="18">
        <f t="shared" si="6"/>
        <v>1555262.4626462536</v>
      </c>
      <c r="AA28" s="18">
        <f t="shared" si="6"/>
        <v>1604979.90860919</v>
      </c>
      <c r="AB28" s="18">
        <f t="shared" si="6"/>
        <v>1656286.6840212992</v>
      </c>
      <c r="AC28" s="18">
        <f t="shared" si="6"/>
        <v>1709233.5953560262</v>
      </c>
      <c r="AD28" s="18">
        <f t="shared" si="6"/>
        <v>1763873.073229464</v>
      </c>
      <c r="AE28" s="18">
        <f t="shared" si="6"/>
        <v>1820259.2243197127</v>
      </c>
      <c r="AF28" s="18">
        <f t="shared" si="6"/>
        <v>1878447.8849459516</v>
      </c>
      <c r="AG28" s="18">
        <f t="shared" si="6"/>
        <v>1938496.6763602886</v>
      </c>
      <c r="AH28" s="18">
        <f t="shared" si="6"/>
        <v>2000465.0618071342</v>
      </c>
      <c r="AI28" s="18">
        <f t="shared" si="6"/>
        <v>2064414.4054066136</v>
      </c>
      <c r="AJ28" s="18">
        <f t="shared" si="6"/>
        <v>2130408.0329203098</v>
      </c>
      <c r="AK28" s="18">
        <f t="shared" si="6"/>
        <v>2198511.2944595241</v>
      </c>
      <c r="AL28" s="18">
        <f t="shared" si="6"/>
        <v>2268791.6291981488</v>
      </c>
      <c r="AM28" s="18">
        <f t="shared" si="6"/>
        <v>2341318.6321542263</v>
      </c>
      <c r="AN28" s="18">
        <f t="shared" si="6"/>
        <v>2416164.1231063344</v>
      </c>
      <c r="AO28" s="18">
        <f t="shared" si="6"/>
        <v>2493402.217713037</v>
      </c>
      <c r="AP28" s="18">
        <f t="shared" si="6"/>
        <v>2573109.4009058257</v>
      </c>
      <c r="AQ28" s="18">
        <f t="shared" si="6"/>
        <v>2655364.6026282352</v>
      </c>
      <c r="AR28" s="18">
        <f t="shared" si="6"/>
        <v>2740249.275996122</v>
      </c>
      <c r="AS28" s="18">
        <f t="shared" si="6"/>
        <v>2827847.4779565199</v>
      </c>
      <c r="AT28" s="18">
        <f t="shared" si="6"/>
        <v>2918245.9525249288</v>
      </c>
    </row>
    <row r="29" spans="1:46" x14ac:dyDescent="0.35">
      <c r="B29" s="8"/>
      <c r="C29" s="34"/>
      <c r="D29" s="64"/>
      <c r="F29" s="45"/>
      <c r="G29" s="18"/>
      <c r="H29" s="18"/>
      <c r="I29" s="18"/>
      <c r="J29" s="18"/>
      <c r="K29" s="18"/>
      <c r="L29" s="18"/>
      <c r="M29" s="18"/>
      <c r="N29" s="18"/>
      <c r="O29" s="18"/>
      <c r="P29" s="18"/>
      <c r="Q29" s="18"/>
      <c r="R29" s="18"/>
      <c r="S29" s="18"/>
      <c r="T29" s="18"/>
      <c r="U29" s="18"/>
      <c r="V29" s="18"/>
      <c r="W29" s="162"/>
      <c r="X29" s="191"/>
      <c r="Y29" s="164"/>
      <c r="Z29" s="18"/>
      <c r="AA29" s="18"/>
      <c r="AB29" s="18"/>
      <c r="AC29" s="18"/>
      <c r="AD29" s="18"/>
      <c r="AE29" s="18"/>
      <c r="AF29" s="18"/>
      <c r="AG29" s="18"/>
      <c r="AH29" s="18"/>
      <c r="AI29" s="18"/>
      <c r="AJ29" s="18"/>
      <c r="AK29" s="18"/>
      <c r="AL29" s="18"/>
      <c r="AM29" s="18"/>
      <c r="AN29" s="18"/>
      <c r="AO29" s="18"/>
      <c r="AP29" s="18"/>
      <c r="AQ29" s="18"/>
      <c r="AR29" s="18"/>
      <c r="AS29" s="18"/>
      <c r="AT29" s="18"/>
    </row>
    <row r="30" spans="1:46" x14ac:dyDescent="0.35">
      <c r="A30" s="8" t="s">
        <v>129</v>
      </c>
      <c r="B30" s="8"/>
      <c r="C30" s="34"/>
      <c r="D30" s="64"/>
      <c r="F30" s="373" t="s">
        <v>46</v>
      </c>
      <c r="G30" s="18"/>
      <c r="H30" s="18"/>
      <c r="I30" s="18"/>
      <c r="J30" s="18"/>
      <c r="K30" s="18"/>
      <c r="L30" s="18"/>
      <c r="M30" s="18"/>
      <c r="N30" s="18"/>
      <c r="O30" s="18"/>
      <c r="P30" s="18"/>
      <c r="Q30" s="18"/>
      <c r="R30" s="18"/>
      <c r="S30" s="18"/>
      <c r="T30" s="18"/>
      <c r="U30" s="18"/>
      <c r="V30" s="18"/>
      <c r="W30" s="162"/>
      <c r="X30" s="191"/>
      <c r="Y30" s="164"/>
      <c r="Z30" s="18"/>
      <c r="AA30" s="18"/>
      <c r="AB30" s="18"/>
      <c r="AC30" s="18"/>
      <c r="AD30" s="18"/>
      <c r="AE30" s="18"/>
      <c r="AF30" s="18"/>
      <c r="AG30" s="18"/>
      <c r="AH30" s="18"/>
      <c r="AI30" s="18"/>
      <c r="AJ30" s="18"/>
      <c r="AK30" s="18"/>
      <c r="AL30" s="18"/>
      <c r="AM30" s="18"/>
      <c r="AN30" s="18"/>
      <c r="AO30" s="18"/>
      <c r="AP30" s="18"/>
      <c r="AQ30" s="18"/>
      <c r="AR30" s="18"/>
      <c r="AS30" s="18"/>
      <c r="AT30" s="18"/>
    </row>
    <row r="31" spans="1:46" x14ac:dyDescent="0.35">
      <c r="B31" s="8" t="s">
        <v>421</v>
      </c>
      <c r="C31" s="34"/>
      <c r="D31" s="64"/>
      <c r="F31" s="165">
        <f>SUM(G31:AT31)</f>
        <v>2453920.3165780054</v>
      </c>
      <c r="G31" s="18">
        <f>($I$10*$I$4)*(1+$D$27)^(G$20-$I$5)</f>
        <v>31119.606941591777</v>
      </c>
      <c r="H31" s="18">
        <f t="shared" ref="H31:AT31" si="7">($I$10*$I$4)*(1+$D$27)^(H$20-$I$5)</f>
        <v>32114.414836507396</v>
      </c>
      <c r="I31" s="18">
        <f t="shared" si="7"/>
        <v>33141.023992590744</v>
      </c>
      <c r="J31" s="18">
        <f t="shared" si="7"/>
        <v>34200.451008339893</v>
      </c>
      <c r="K31" s="18">
        <f t="shared" si="7"/>
        <v>35293.744980099531</v>
      </c>
      <c r="L31" s="18">
        <f t="shared" si="7"/>
        <v>36421.988540927276</v>
      </c>
      <c r="M31" s="18">
        <f t="shared" si="7"/>
        <v>37586.298932669888</v>
      </c>
      <c r="N31" s="18">
        <f t="shared" si="7"/>
        <v>38787.829112310581</v>
      </c>
      <c r="O31" s="18">
        <f t="shared" si="7"/>
        <v>40027.768893683373</v>
      </c>
      <c r="P31" s="18">
        <f t="shared" si="7"/>
        <v>41307.346125684788</v>
      </c>
      <c r="Q31" s="18">
        <f t="shared" si="7"/>
        <v>42627.827908149797</v>
      </c>
      <c r="R31" s="18">
        <f t="shared" si="7"/>
        <v>43990.521846595882</v>
      </c>
      <c r="S31" s="18">
        <f t="shared" si="7"/>
        <v>45396.777347077892</v>
      </c>
      <c r="T31" s="18">
        <f t="shared" si="7"/>
        <v>46847.986952435771</v>
      </c>
      <c r="U31" s="18">
        <f t="shared" si="7"/>
        <v>48345.587721258446</v>
      </c>
      <c r="V31" s="18">
        <f t="shared" si="7"/>
        <v>49891.062650929372</v>
      </c>
      <c r="W31" s="18">
        <f t="shared" si="7"/>
        <v>51485.942146162983</v>
      </c>
      <c r="X31" s="18">
        <f t="shared" si="7"/>
        <v>53131.805534486099</v>
      </c>
      <c r="Y31" s="18">
        <f t="shared" si="7"/>
        <v>54830.282630165151</v>
      </c>
      <c r="Z31" s="18">
        <f t="shared" si="7"/>
        <v>56583.055348127789</v>
      </c>
      <c r="AA31" s="18">
        <f t="shared" si="7"/>
        <v>58391.859369477235</v>
      </c>
      <c r="AB31" s="18">
        <f t="shared" si="7"/>
        <v>60258.4858602483</v>
      </c>
      <c r="AC31" s="18">
        <f t="shared" si="7"/>
        <v>62184.783245107566</v>
      </c>
      <c r="AD31" s="18">
        <f t="shared" si="7"/>
        <v>64172.659037753598</v>
      </c>
      <c r="AE31" s="18">
        <f t="shared" si="7"/>
        <v>66224.081729830184</v>
      </c>
      <c r="AF31" s="18">
        <f t="shared" si="7"/>
        <v>68341.082740222846</v>
      </c>
      <c r="AG31" s="18">
        <f t="shared" si="7"/>
        <v>70525.758426668966</v>
      </c>
      <c r="AH31" s="18">
        <f t="shared" si="7"/>
        <v>72780.272161673536</v>
      </c>
      <c r="AI31" s="18">
        <f t="shared" si="7"/>
        <v>75106.856474786226</v>
      </c>
      <c r="AJ31" s="18">
        <f t="shared" si="7"/>
        <v>77507.815263361132</v>
      </c>
      <c r="AK31" s="18">
        <f t="shared" si="7"/>
        <v>79985.526073988396</v>
      </c>
      <c r="AL31" s="18">
        <f t="shared" si="7"/>
        <v>82542.44245685685</v>
      </c>
      <c r="AM31" s="18">
        <f t="shared" si="7"/>
        <v>85181.096395379238</v>
      </c>
      <c r="AN31" s="18">
        <f t="shared" si="7"/>
        <v>87904.100813485726</v>
      </c>
      <c r="AO31" s="18">
        <f t="shared" si="7"/>
        <v>90714.152163068793</v>
      </c>
      <c r="AP31" s="18">
        <f t="shared" si="7"/>
        <v>93614.033094141414</v>
      </c>
      <c r="AQ31" s="18">
        <f t="shared" si="7"/>
        <v>96606.615210353106</v>
      </c>
      <c r="AR31" s="18">
        <f t="shared" si="7"/>
        <v>99694.861912591761</v>
      </c>
      <c r="AS31" s="18">
        <f t="shared" si="7"/>
        <v>102881.8313334882</v>
      </c>
      <c r="AT31" s="18">
        <f t="shared" si="7"/>
        <v>106170.67936572802</v>
      </c>
    </row>
    <row r="32" spans="1:46" x14ac:dyDescent="0.35">
      <c r="B32" s="8" t="s">
        <v>422</v>
      </c>
      <c r="E32" s="15"/>
      <c r="F32" s="165">
        <f>SUM(G32:AT32)</f>
        <v>100160.01292155123</v>
      </c>
      <c r="G32" s="18">
        <f t="shared" ref="G32:AT32" si="8">G31/$I$8</f>
        <v>1270.1880384323174</v>
      </c>
      <c r="H32" s="18">
        <f t="shared" si="8"/>
        <v>1310.7924423064244</v>
      </c>
      <c r="I32" s="18">
        <f t="shared" si="8"/>
        <v>1352.6948568404387</v>
      </c>
      <c r="J32" s="18">
        <f t="shared" si="8"/>
        <v>1395.9367758506078</v>
      </c>
      <c r="K32" s="18">
        <f t="shared" si="8"/>
        <v>1440.5610195958993</v>
      </c>
      <c r="L32" s="18">
        <f t="shared" si="8"/>
        <v>1486.6117771807051</v>
      </c>
      <c r="M32" s="18">
        <f t="shared" si="8"/>
        <v>1534.1346503130567</v>
      </c>
      <c r="N32" s="18">
        <f t="shared" si="8"/>
        <v>1583.1766984616563</v>
      </c>
      <c r="O32" s="18">
        <f t="shared" si="8"/>
        <v>1633.7864854564641</v>
      </c>
      <c r="P32" s="18">
        <f t="shared" si="8"/>
        <v>1686.0141275789708</v>
      </c>
      <c r="Q32" s="18">
        <f t="shared" si="8"/>
        <v>1739.9113431897877</v>
      </c>
      <c r="R32" s="18">
        <f t="shared" si="8"/>
        <v>1795.5315039426891</v>
      </c>
      <c r="S32" s="18">
        <f t="shared" si="8"/>
        <v>1852.9296876358324</v>
      </c>
      <c r="T32" s="18">
        <f t="shared" si="8"/>
        <v>1912.1627327524805</v>
      </c>
      <c r="U32" s="18">
        <f t="shared" si="8"/>
        <v>1973.2892947452426</v>
      </c>
      <c r="V32" s="18">
        <f t="shared" si="8"/>
        <v>2036.3699041195662</v>
      </c>
      <c r="W32" s="18">
        <f t="shared" si="8"/>
        <v>2101.4670263739995</v>
      </c>
      <c r="X32" s="18">
        <f t="shared" si="8"/>
        <v>2168.6451238565755</v>
      </c>
      <c r="Y32" s="18">
        <f t="shared" si="8"/>
        <v>2237.9707195985775</v>
      </c>
      <c r="Z32" s="18">
        <f t="shared" si="8"/>
        <v>2309.5124631888893</v>
      </c>
      <c r="AA32" s="18">
        <f t="shared" si="8"/>
        <v>2383.3411987541731</v>
      </c>
      <c r="AB32" s="18">
        <f t="shared" si="8"/>
        <v>2459.5300351121755</v>
      </c>
      <c r="AC32" s="18">
        <f t="shared" si="8"/>
        <v>2538.1544181676559</v>
      </c>
      <c r="AD32" s="18">
        <f t="shared" si="8"/>
        <v>2619.2922056225957</v>
      </c>
      <c r="AE32" s="18">
        <f t="shared" si="8"/>
        <v>2703.0237440747014</v>
      </c>
      <c r="AF32" s="18">
        <f t="shared" si="8"/>
        <v>2789.4319485805245</v>
      </c>
      <c r="AG32" s="18">
        <f t="shared" si="8"/>
        <v>2878.6023847619986</v>
      </c>
      <c r="AH32" s="18">
        <f t="shared" si="8"/>
        <v>2970.6233535376955</v>
      </c>
      <c r="AI32" s="18">
        <f t="shared" si="8"/>
        <v>3065.5859785627031</v>
      </c>
      <c r="AJ32" s="18">
        <f t="shared" si="8"/>
        <v>3163.5842964637195</v>
      </c>
      <c r="AK32" s="18">
        <f t="shared" si="8"/>
        <v>3264.7153499587102</v>
      </c>
      <c r="AL32" s="18">
        <f t="shared" si="8"/>
        <v>3369.079283953341</v>
      </c>
      <c r="AM32" s="18">
        <f t="shared" si="8"/>
        <v>3476.7794447093565</v>
      </c>
      <c r="AN32" s="18">
        <f t="shared" si="8"/>
        <v>3587.9224821830908</v>
      </c>
      <c r="AO32" s="18">
        <f t="shared" si="8"/>
        <v>3702.618455635461</v>
      </c>
      <c r="AP32" s="18">
        <f t="shared" si="8"/>
        <v>3820.9809426180168</v>
      </c>
      <c r="AQ32" s="18">
        <f t="shared" si="8"/>
        <v>3943.1271514429841</v>
      </c>
      <c r="AR32" s="18">
        <f t="shared" si="8"/>
        <v>4069.1780372486432</v>
      </c>
      <c r="AS32" s="18">
        <f t="shared" si="8"/>
        <v>4199.2584217750282</v>
      </c>
      <c r="AT32" s="18">
        <f t="shared" si="8"/>
        <v>4333.4971169684904</v>
      </c>
    </row>
    <row r="33" spans="1:46" ht="4.4000000000000004" customHeight="1" thickBot="1" x14ac:dyDescent="0.4">
      <c r="A33" s="4"/>
      <c r="B33" s="4"/>
      <c r="C33" s="4"/>
      <c r="D33" s="4"/>
      <c r="E33" s="4"/>
      <c r="F33" s="4"/>
      <c r="G33" s="4"/>
      <c r="H33" s="4"/>
      <c r="I33" s="4"/>
      <c r="J33" s="4"/>
      <c r="K33" s="4"/>
      <c r="L33" s="4"/>
      <c r="M33" s="4"/>
      <c r="N33" s="4"/>
      <c r="O33" s="4"/>
      <c r="P33" s="4"/>
      <c r="Q33" s="4"/>
      <c r="R33" s="4"/>
      <c r="S33" s="4"/>
      <c r="T33" s="4"/>
      <c r="U33" s="4"/>
      <c r="V33" s="4"/>
      <c r="W33" s="4"/>
      <c r="X33" s="163"/>
      <c r="Y33" s="4"/>
      <c r="Z33" s="4"/>
      <c r="AA33" s="4"/>
      <c r="AB33" s="4"/>
      <c r="AC33" s="4"/>
      <c r="AD33" s="4"/>
      <c r="AE33" s="4"/>
      <c r="AF33" s="4"/>
      <c r="AG33" s="4"/>
      <c r="AH33" s="4"/>
      <c r="AI33" s="4"/>
      <c r="AJ33" s="4"/>
      <c r="AK33" s="4"/>
      <c r="AL33" s="4"/>
      <c r="AM33" s="4"/>
      <c r="AN33" s="4"/>
      <c r="AO33" s="4"/>
      <c r="AP33" s="4"/>
      <c r="AQ33" s="4"/>
      <c r="AR33" s="4"/>
      <c r="AS33" s="4"/>
      <c r="AT33" s="4"/>
    </row>
    <row r="34" spans="1:46" x14ac:dyDescent="0.35">
      <c r="Q34" s="46"/>
      <c r="R34" s="46"/>
      <c r="S34" s="46"/>
      <c r="T34" s="46"/>
      <c r="U34" s="46"/>
      <c r="V34" s="46"/>
      <c r="W34" s="46"/>
      <c r="X34" s="298"/>
      <c r="Y34" s="189"/>
      <c r="Z34" s="46"/>
      <c r="AA34" s="46"/>
      <c r="AB34" s="46"/>
      <c r="AC34" s="46"/>
      <c r="AD34" s="46"/>
      <c r="AE34" s="46"/>
    </row>
    <row r="35" spans="1:46" x14ac:dyDescent="0.35">
      <c r="A35" s="371" t="s">
        <v>423</v>
      </c>
      <c r="B35" s="372"/>
    </row>
    <row r="36" spans="1:46" x14ac:dyDescent="0.35">
      <c r="A36" s="8"/>
    </row>
    <row r="37" spans="1:46" x14ac:dyDescent="0.35">
      <c r="A37" s="8" t="s">
        <v>178</v>
      </c>
      <c r="D37" t="s">
        <v>418</v>
      </c>
      <c r="F37" s="373" t="s">
        <v>46</v>
      </c>
    </row>
    <row r="38" spans="1:46" x14ac:dyDescent="0.35">
      <c r="A38" s="8"/>
      <c r="B38" t="s">
        <v>424</v>
      </c>
      <c r="F38" s="373"/>
      <c r="G38" s="18">
        <f>IF(G20&lt;$I$3,0,IF(G20&lt;$I$3+$I$17,($I$14*$I$4)*(G20-$I$3+1),0))</f>
        <v>0</v>
      </c>
      <c r="H38" s="18">
        <f t="shared" ref="H38:AT38" si="9">IF(H20&lt;$I$3,0,IF(H20&lt;$I$3+$I$17,($I$14*$I$4)*(H20-$I$3+1),0))</f>
        <v>0</v>
      </c>
      <c r="I38" s="18">
        <f t="shared" si="9"/>
        <v>0</v>
      </c>
      <c r="J38" s="18">
        <f t="shared" si="9"/>
        <v>0</v>
      </c>
      <c r="K38" s="18">
        <f t="shared" si="9"/>
        <v>0</v>
      </c>
      <c r="L38" s="18">
        <f t="shared" si="9"/>
        <v>0</v>
      </c>
      <c r="M38" s="18">
        <f t="shared" si="9"/>
        <v>0</v>
      </c>
      <c r="N38" s="18">
        <f t="shared" si="9"/>
        <v>0</v>
      </c>
      <c r="O38" s="704">
        <f t="shared" si="9"/>
        <v>0</v>
      </c>
      <c r="P38" s="704">
        <f t="shared" si="9"/>
        <v>-1219027.2005052641</v>
      </c>
      <c r="Q38" s="704">
        <f t="shared" si="9"/>
        <v>-2438054.4010105282</v>
      </c>
      <c r="R38" s="704">
        <f t="shared" si="9"/>
        <v>-3657081.6015157923</v>
      </c>
      <c r="S38" s="704">
        <f t="shared" si="9"/>
        <v>-4876108.8020210564</v>
      </c>
      <c r="T38" s="18">
        <f t="shared" si="9"/>
        <v>-6095136.0025263205</v>
      </c>
      <c r="U38" s="18">
        <f t="shared" si="9"/>
        <v>0</v>
      </c>
      <c r="V38" s="18">
        <f t="shared" si="9"/>
        <v>0</v>
      </c>
      <c r="W38" s="18">
        <f t="shared" si="9"/>
        <v>0</v>
      </c>
      <c r="X38" s="18">
        <f t="shared" si="9"/>
        <v>0</v>
      </c>
      <c r="Y38" s="18">
        <f t="shared" si="9"/>
        <v>0</v>
      </c>
      <c r="Z38" s="18">
        <f t="shared" si="9"/>
        <v>0</v>
      </c>
      <c r="AA38" s="18">
        <f t="shared" si="9"/>
        <v>0</v>
      </c>
      <c r="AB38" s="18">
        <f t="shared" si="9"/>
        <v>0</v>
      </c>
      <c r="AC38" s="18">
        <f t="shared" si="9"/>
        <v>0</v>
      </c>
      <c r="AD38" s="18">
        <f t="shared" si="9"/>
        <v>0</v>
      </c>
      <c r="AE38" s="18">
        <f t="shared" si="9"/>
        <v>0</v>
      </c>
      <c r="AF38" s="18">
        <f t="shared" si="9"/>
        <v>0</v>
      </c>
      <c r="AG38" s="18">
        <f t="shared" si="9"/>
        <v>0</v>
      </c>
      <c r="AH38" s="18">
        <f t="shared" si="9"/>
        <v>0</v>
      </c>
      <c r="AI38" s="18">
        <f t="shared" si="9"/>
        <v>0</v>
      </c>
      <c r="AJ38" s="18">
        <f t="shared" si="9"/>
        <v>0</v>
      </c>
      <c r="AK38" s="18">
        <f t="shared" si="9"/>
        <v>0</v>
      </c>
      <c r="AL38" s="18">
        <f t="shared" si="9"/>
        <v>0</v>
      </c>
      <c r="AM38" s="18">
        <f t="shared" si="9"/>
        <v>0</v>
      </c>
      <c r="AN38" s="18">
        <f t="shared" si="9"/>
        <v>0</v>
      </c>
      <c r="AO38" s="18">
        <f t="shared" si="9"/>
        <v>0</v>
      </c>
      <c r="AP38" s="18">
        <f t="shared" si="9"/>
        <v>0</v>
      </c>
      <c r="AQ38" s="18">
        <f t="shared" si="9"/>
        <v>0</v>
      </c>
      <c r="AR38" s="18">
        <f t="shared" si="9"/>
        <v>0</v>
      </c>
      <c r="AS38" s="18">
        <f t="shared" si="9"/>
        <v>0</v>
      </c>
      <c r="AT38" s="18">
        <f t="shared" si="9"/>
        <v>0</v>
      </c>
    </row>
    <row r="39" spans="1:46" x14ac:dyDescent="0.35">
      <c r="B39" t="s">
        <v>425</v>
      </c>
      <c r="C39" s="34"/>
      <c r="D39" s="64">
        <f>Inputs!$D$22</f>
        <v>3.1967238428903366E-2</v>
      </c>
      <c r="F39" s="165">
        <f>SUM(G39:AT39)</f>
        <v>3334628029.8458748</v>
      </c>
      <c r="G39" s="33">
        <f>IF(G$20&gt;=$I$3+$I$17,($I$13*$I$4)*(1+$D$27)^(G$20-$I$5),G27)</f>
        <v>47045066.631578945</v>
      </c>
      <c r="H39" s="33">
        <f t="shared" ref="H39:AT39" si="10">IF(H$20&gt;=$I$3+$I$17,($I$13*$I$4)*(1+$D$27)^(H$20-$I$5),H27)</f>
        <v>48548967.493494272</v>
      </c>
      <c r="I39" s="33">
        <f t="shared" si="10"/>
        <v>50100943.912835889</v>
      </c>
      <c r="J39" s="33">
        <f t="shared" si="10"/>
        <v>51702532.732410625</v>
      </c>
      <c r="K39" s="33">
        <f t="shared" si="10"/>
        <v>53355319.923645779</v>
      </c>
      <c r="L39" s="33">
        <f>IF(L$20&gt;=$I$3+$I$17,($I$13*$I$4)*(1+$D$27)^(L$20-$I$5),L27)</f>
        <v>55060942.157095373</v>
      </c>
      <c r="M39" s="33">
        <f t="shared" si="10"/>
        <v>56821088.423151307</v>
      </c>
      <c r="N39" s="33">
        <f t="shared" si="10"/>
        <v>58637501.704563983</v>
      </c>
      <c r="O39" s="33">
        <f t="shared" si="10"/>
        <v>60511980.702429004</v>
      </c>
      <c r="P39" s="33">
        <f t="shared" si="10"/>
        <v>62446381.617348745</v>
      </c>
      <c r="Q39" s="33">
        <f t="shared" si="10"/>
        <v>64442619.987532832</v>
      </c>
      <c r="R39" s="33">
        <f t="shared" si="10"/>
        <v>66502672.5856575</v>
      </c>
      <c r="S39" s="33">
        <f t="shared" si="10"/>
        <v>68628579.376362517</v>
      </c>
      <c r="T39" s="33">
        <f t="shared" si="10"/>
        <v>70822445.536323607</v>
      </c>
      <c r="U39" s="33">
        <f t="shared" si="10"/>
        <v>63617399.381749608</v>
      </c>
      <c r="V39" s="33">
        <f t="shared" si="10"/>
        <v>65651071.956012763</v>
      </c>
      <c r="W39" s="33">
        <f t="shared" si="10"/>
        <v>67749755.426343709</v>
      </c>
      <c r="X39" s="33">
        <f t="shared" si="10"/>
        <v>69915528.011557534</v>
      </c>
      <c r="Y39" s="33">
        <f t="shared" si="10"/>
        <v>72150534.365385666</v>
      </c>
      <c r="Z39" s="33">
        <f t="shared" si="10"/>
        <v>74456987.700216725</v>
      </c>
      <c r="AA39" s="33">
        <f t="shared" si="10"/>
        <v>76837171.97872749</v>
      </c>
      <c r="AB39" s="33">
        <f t="shared" si="10"/>
        <v>79293444.175574109</v>
      </c>
      <c r="AC39" s="33">
        <f t="shared" si="10"/>
        <v>81828236.611383647</v>
      </c>
      <c r="AD39" s="33">
        <f t="shared" si="10"/>
        <v>84444059.361356467</v>
      </c>
      <c r="AE39" s="33">
        <f t="shared" si="10"/>
        <v>87143502.740865409</v>
      </c>
      <c r="AF39" s="33">
        <f t="shared" si="10"/>
        <v>89929239.870512441</v>
      </c>
      <c r="AG39" s="33">
        <f t="shared" si="10"/>
        <v>92804029.323183179</v>
      </c>
      <c r="AH39" s="33">
        <f t="shared" si="10"/>
        <v>95770717.855720297</v>
      </c>
      <c r="AI39" s="33">
        <f t="shared" si="10"/>
        <v>98832243.227921337</v>
      </c>
      <c r="AJ39" s="33">
        <f t="shared" si="10"/>
        <v>101991637.11165167</v>
      </c>
      <c r="AK39" s="33">
        <f t="shared" si="10"/>
        <v>105252028.09295402</v>
      </c>
      <c r="AL39" s="33">
        <f t="shared" si="10"/>
        <v>108616644.77012713</v>
      </c>
      <c r="AM39" s="33">
        <f t="shared" si="10"/>
        <v>112088818.95084128</v>
      </c>
      <c r="AN39" s="33">
        <f t="shared" si="10"/>
        <v>115671988.95145699</v>
      </c>
      <c r="AO39" s="33">
        <f t="shared" si="10"/>
        <v>119369703.00181371</v>
      </c>
      <c r="AP39" s="33">
        <f t="shared" si="10"/>
        <v>123185622.75886007</v>
      </c>
      <c r="AQ39" s="33">
        <f t="shared" si="10"/>
        <v>127123526.9326055</v>
      </c>
      <c r="AR39" s="33">
        <f t="shared" si="10"/>
        <v>131187315.0279832</v>
      </c>
      <c r="AS39" s="33">
        <f t="shared" si="10"/>
        <v>135381011.20633042</v>
      </c>
      <c r="AT39" s="33">
        <f t="shared" si="10"/>
        <v>139708768.27030921</v>
      </c>
    </row>
    <row r="40" spans="1:46" x14ac:dyDescent="0.35">
      <c r="C40" s="34"/>
      <c r="D40" s="64"/>
      <c r="F40" s="165"/>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row>
    <row r="41" spans="1:46" x14ac:dyDescent="0.35">
      <c r="B41" s="8" t="s">
        <v>426</v>
      </c>
      <c r="C41" s="34"/>
      <c r="D41" s="64"/>
      <c r="F41" s="165">
        <f>SUM(G41:AT41)</f>
        <v>3316342621.838295</v>
      </c>
      <c r="G41" s="33">
        <f>G39+G38</f>
        <v>47045066.631578945</v>
      </c>
      <c r="H41" s="33">
        <f t="shared" ref="H41:AT41" si="11">H39+H38</f>
        <v>48548967.493494272</v>
      </c>
      <c r="I41" s="33">
        <f t="shared" si="11"/>
        <v>50100943.912835889</v>
      </c>
      <c r="J41" s="33">
        <f t="shared" si="11"/>
        <v>51702532.732410625</v>
      </c>
      <c r="K41" s="33">
        <f t="shared" si="11"/>
        <v>53355319.923645779</v>
      </c>
      <c r="L41" s="33">
        <f t="shared" si="11"/>
        <v>55060942.157095373</v>
      </c>
      <c r="M41" s="33">
        <f t="shared" si="11"/>
        <v>56821088.423151307</v>
      </c>
      <c r="N41" s="33">
        <f t="shared" si="11"/>
        <v>58637501.704563983</v>
      </c>
      <c r="O41" s="33">
        <f>O39+O38</f>
        <v>60511980.702429004</v>
      </c>
      <c r="P41" s="33">
        <f t="shared" si="11"/>
        <v>61227354.416843481</v>
      </c>
      <c r="Q41" s="33">
        <f t="shared" si="11"/>
        <v>62004565.586522304</v>
      </c>
      <c r="R41" s="33">
        <f t="shared" si="11"/>
        <v>62845590.984141707</v>
      </c>
      <c r="S41" s="33">
        <f t="shared" si="11"/>
        <v>63752470.574341461</v>
      </c>
      <c r="T41" s="33">
        <f t="shared" si="11"/>
        <v>64727309.533797286</v>
      </c>
      <c r="U41" s="33">
        <f t="shared" si="11"/>
        <v>63617399.381749608</v>
      </c>
      <c r="V41" s="33">
        <f t="shared" si="11"/>
        <v>65651071.956012763</v>
      </c>
      <c r="W41" s="33">
        <f t="shared" si="11"/>
        <v>67749755.426343709</v>
      </c>
      <c r="X41" s="33">
        <f t="shared" si="11"/>
        <v>69915528.011557534</v>
      </c>
      <c r="Y41" s="33">
        <f t="shared" si="11"/>
        <v>72150534.365385666</v>
      </c>
      <c r="Z41" s="33">
        <f t="shared" si="11"/>
        <v>74456987.700216725</v>
      </c>
      <c r="AA41" s="33">
        <f t="shared" si="11"/>
        <v>76837171.97872749</v>
      </c>
      <c r="AB41" s="33">
        <f t="shared" si="11"/>
        <v>79293444.175574109</v>
      </c>
      <c r="AC41" s="33">
        <f t="shared" si="11"/>
        <v>81828236.611383647</v>
      </c>
      <c r="AD41" s="33">
        <f t="shared" si="11"/>
        <v>84444059.361356467</v>
      </c>
      <c r="AE41" s="33">
        <f t="shared" si="11"/>
        <v>87143502.740865409</v>
      </c>
      <c r="AF41" s="33">
        <f t="shared" si="11"/>
        <v>89929239.870512441</v>
      </c>
      <c r="AG41" s="33">
        <f t="shared" si="11"/>
        <v>92804029.323183179</v>
      </c>
      <c r="AH41" s="33">
        <f t="shared" si="11"/>
        <v>95770717.855720297</v>
      </c>
      <c r="AI41" s="33">
        <f t="shared" si="11"/>
        <v>98832243.227921337</v>
      </c>
      <c r="AJ41" s="33">
        <f t="shared" si="11"/>
        <v>101991637.11165167</v>
      </c>
      <c r="AK41" s="33">
        <f t="shared" si="11"/>
        <v>105252028.09295402</v>
      </c>
      <c r="AL41" s="33">
        <f t="shared" si="11"/>
        <v>108616644.77012713</v>
      </c>
      <c r="AM41" s="33">
        <f t="shared" si="11"/>
        <v>112088818.95084128</v>
      </c>
      <c r="AN41" s="33">
        <f t="shared" si="11"/>
        <v>115671988.95145699</v>
      </c>
      <c r="AO41" s="33">
        <f t="shared" si="11"/>
        <v>119369703.00181371</v>
      </c>
      <c r="AP41" s="33">
        <f t="shared" si="11"/>
        <v>123185622.75886007</v>
      </c>
      <c r="AQ41" s="33">
        <f t="shared" si="11"/>
        <v>127123526.9326055</v>
      </c>
      <c r="AR41" s="33">
        <f t="shared" si="11"/>
        <v>131187315.0279832</v>
      </c>
      <c r="AS41" s="33">
        <f t="shared" si="11"/>
        <v>135381011.20633042</v>
      </c>
      <c r="AT41" s="33">
        <f t="shared" si="11"/>
        <v>139708768.27030921</v>
      </c>
    </row>
    <row r="42" spans="1:46" x14ac:dyDescent="0.35">
      <c r="B42" s="8" t="s">
        <v>420</v>
      </c>
      <c r="F42" s="165">
        <f>SUM(G42:AT42)</f>
        <v>60297138.578878075</v>
      </c>
      <c r="G42" s="18">
        <f>G41/$I$6</f>
        <v>855364.84784688987</v>
      </c>
      <c r="H42" s="18">
        <f t="shared" ref="H42:AT42" si="12">H41/$I$6</f>
        <v>882708.499881714</v>
      </c>
      <c r="I42" s="18">
        <f t="shared" si="12"/>
        <v>910926.25296065246</v>
      </c>
      <c r="J42" s="18">
        <f t="shared" si="12"/>
        <v>940046.04968019319</v>
      </c>
      <c r="K42" s="18">
        <f t="shared" si="12"/>
        <v>970096.72588446876</v>
      </c>
      <c r="L42" s="18">
        <f t="shared" si="12"/>
        <v>1001108.0392199159</v>
      </c>
      <c r="M42" s="18">
        <f t="shared" si="12"/>
        <v>1033110.698602751</v>
      </c>
      <c r="N42" s="18">
        <f t="shared" si="12"/>
        <v>1066136.3946284361</v>
      </c>
      <c r="O42" s="18">
        <f t="shared" si="12"/>
        <v>1100217.8309532546</v>
      </c>
      <c r="P42" s="18">
        <f t="shared" si="12"/>
        <v>1113224.6257607907</v>
      </c>
      <c r="Q42" s="18">
        <f t="shared" si="12"/>
        <v>1127355.7379367691</v>
      </c>
      <c r="R42" s="18">
        <f t="shared" si="12"/>
        <v>1142647.1088025765</v>
      </c>
      <c r="S42" s="18">
        <f t="shared" si="12"/>
        <v>1159135.8286243903</v>
      </c>
      <c r="T42" s="18">
        <f t="shared" si="12"/>
        <v>1176860.1733417688</v>
      </c>
      <c r="U42" s="18">
        <f t="shared" si="12"/>
        <v>1156679.9887590837</v>
      </c>
      <c r="V42" s="18">
        <f t="shared" si="12"/>
        <v>1193655.8537456866</v>
      </c>
      <c r="W42" s="18">
        <f t="shared" si="12"/>
        <v>1231813.735024431</v>
      </c>
      <c r="X42" s="18">
        <f t="shared" si="12"/>
        <v>1271191.4183919551</v>
      </c>
      <c r="Y42" s="18">
        <f t="shared" si="12"/>
        <v>1311827.8975524667</v>
      </c>
      <c r="Z42" s="18">
        <f t="shared" si="12"/>
        <v>1353763.4127312133</v>
      </c>
      <c r="AA42" s="18">
        <f t="shared" si="12"/>
        <v>1397039.4905223181</v>
      </c>
      <c r="AB42" s="18">
        <f t="shared" si="12"/>
        <v>1441698.9850104384</v>
      </c>
      <c r="AC42" s="18">
        <f t="shared" si="12"/>
        <v>1487786.1202069754</v>
      </c>
      <c r="AD42" s="18">
        <f t="shared" si="12"/>
        <v>1535346.5338428449</v>
      </c>
      <c r="AE42" s="18">
        <f t="shared" si="12"/>
        <v>1584427.3225611893</v>
      </c>
      <c r="AF42" s="18">
        <f t="shared" si="12"/>
        <v>1635077.0885547716</v>
      </c>
      <c r="AG42" s="18">
        <f t="shared" si="12"/>
        <v>1687345.9876942397</v>
      </c>
      <c r="AH42" s="18">
        <f t="shared" si="12"/>
        <v>1741285.7791949145</v>
      </c>
      <c r="AI42" s="18">
        <f t="shared" si="12"/>
        <v>1796949.8768712971</v>
      </c>
      <c r="AJ42" s="18">
        <f t="shared" si="12"/>
        <v>1854393.4020300305</v>
      </c>
      <c r="AK42" s="18">
        <f t="shared" si="12"/>
        <v>1913673.2380537095</v>
      </c>
      <c r="AL42" s="18">
        <f t="shared" si="12"/>
        <v>1974848.0867295843</v>
      </c>
      <c r="AM42" s="18">
        <f t="shared" si="12"/>
        <v>2037978.5263789324</v>
      </c>
      <c r="AN42" s="18">
        <f t="shared" si="12"/>
        <v>2103127.0718446728</v>
      </c>
      <c r="AO42" s="18">
        <f t="shared" si="12"/>
        <v>2170358.2363966131</v>
      </c>
      <c r="AP42" s="18">
        <f t="shared" si="12"/>
        <v>2239738.5956156375</v>
      </c>
      <c r="AQ42" s="18">
        <f t="shared" si="12"/>
        <v>2311336.8533200999</v>
      </c>
      <c r="AR42" s="18">
        <f t="shared" si="12"/>
        <v>2385223.9095996944</v>
      </c>
      <c r="AS42" s="18">
        <f t="shared" si="12"/>
        <v>2461472.9310241896</v>
      </c>
      <c r="AT42" s="18">
        <f t="shared" si="12"/>
        <v>2540159.4230965311</v>
      </c>
    </row>
    <row r="43" spans="1:46" x14ac:dyDescent="0.35">
      <c r="B43" s="8"/>
      <c r="C43" s="34"/>
      <c r="D43" s="64"/>
      <c r="F43" s="45"/>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row>
    <row r="44" spans="1:46" x14ac:dyDescent="0.35">
      <c r="A44" s="8" t="s">
        <v>129</v>
      </c>
      <c r="B44" s="8"/>
      <c r="C44" s="34"/>
      <c r="D44" s="64"/>
      <c r="F44" s="373" t="s">
        <v>46</v>
      </c>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row>
    <row r="45" spans="1:46" x14ac:dyDescent="0.35">
      <c r="A45" s="8"/>
      <c r="B45" t="s">
        <v>424</v>
      </c>
      <c r="F45" s="165">
        <f>SUM(G45:AT45)</f>
        <v>141514.64921437751</v>
      </c>
      <c r="G45" s="18">
        <f>IF(G20&lt;$I$3,0,IF(G20&lt;$I$3+$I$17,($I$16*$I$4)*(G20-$I$3+1),0))</f>
        <v>0</v>
      </c>
      <c r="H45" s="18">
        <f t="shared" ref="H45:AT45" si="13">IF(H20&lt;$I$3,0,IF(H20&lt;$I$3+$I$17,($I$16*$I$4)*(H20-$I$3+1),0))</f>
        <v>0</v>
      </c>
      <c r="I45" s="18">
        <f t="shared" si="13"/>
        <v>0</v>
      </c>
      <c r="J45" s="18">
        <f t="shared" si="13"/>
        <v>0</v>
      </c>
      <c r="K45" s="18">
        <f t="shared" si="13"/>
        <v>0</v>
      </c>
      <c r="L45" s="18">
        <f t="shared" si="13"/>
        <v>0</v>
      </c>
      <c r="M45" s="18">
        <f t="shared" si="13"/>
        <v>0</v>
      </c>
      <c r="N45" s="18">
        <f t="shared" si="13"/>
        <v>0</v>
      </c>
      <c r="O45" s="704">
        <f t="shared" si="13"/>
        <v>0</v>
      </c>
      <c r="P45" s="704">
        <f t="shared" si="13"/>
        <v>9434.3099476251664</v>
      </c>
      <c r="Q45" s="704">
        <f t="shared" si="13"/>
        <v>18868.619895250333</v>
      </c>
      <c r="R45" s="704">
        <f t="shared" si="13"/>
        <v>28302.929842875499</v>
      </c>
      <c r="S45" s="704">
        <f t="shared" si="13"/>
        <v>37737.239790500666</v>
      </c>
      <c r="T45" s="18">
        <f t="shared" si="13"/>
        <v>47171.549738125832</v>
      </c>
      <c r="U45" s="18">
        <f t="shared" si="13"/>
        <v>0</v>
      </c>
      <c r="V45" s="18">
        <f t="shared" si="13"/>
        <v>0</v>
      </c>
      <c r="W45" s="18">
        <f t="shared" si="13"/>
        <v>0</v>
      </c>
      <c r="X45" s="18">
        <f t="shared" si="13"/>
        <v>0</v>
      </c>
      <c r="Y45" s="18">
        <f t="shared" si="13"/>
        <v>0</v>
      </c>
      <c r="Z45" s="18">
        <f t="shared" si="13"/>
        <v>0</v>
      </c>
      <c r="AA45" s="18">
        <f t="shared" si="13"/>
        <v>0</v>
      </c>
      <c r="AB45" s="18">
        <f t="shared" si="13"/>
        <v>0</v>
      </c>
      <c r="AC45" s="18">
        <f t="shared" si="13"/>
        <v>0</v>
      </c>
      <c r="AD45" s="18">
        <f t="shared" si="13"/>
        <v>0</v>
      </c>
      <c r="AE45" s="18">
        <f t="shared" si="13"/>
        <v>0</v>
      </c>
      <c r="AF45" s="18">
        <f t="shared" si="13"/>
        <v>0</v>
      </c>
      <c r="AG45" s="18">
        <f t="shared" si="13"/>
        <v>0</v>
      </c>
      <c r="AH45" s="18">
        <f t="shared" si="13"/>
        <v>0</v>
      </c>
      <c r="AI45" s="18">
        <f t="shared" si="13"/>
        <v>0</v>
      </c>
      <c r="AJ45" s="18">
        <f t="shared" si="13"/>
        <v>0</v>
      </c>
      <c r="AK45" s="18">
        <f t="shared" si="13"/>
        <v>0</v>
      </c>
      <c r="AL45" s="18">
        <f t="shared" si="13"/>
        <v>0</v>
      </c>
      <c r="AM45" s="18">
        <f t="shared" si="13"/>
        <v>0</v>
      </c>
      <c r="AN45" s="18">
        <f t="shared" si="13"/>
        <v>0</v>
      </c>
      <c r="AO45" s="18">
        <f t="shared" si="13"/>
        <v>0</v>
      </c>
      <c r="AP45" s="18">
        <f t="shared" si="13"/>
        <v>0</v>
      </c>
      <c r="AQ45" s="18">
        <f t="shared" si="13"/>
        <v>0</v>
      </c>
      <c r="AR45" s="18">
        <f t="shared" si="13"/>
        <v>0</v>
      </c>
      <c r="AS45" s="18">
        <f t="shared" si="13"/>
        <v>0</v>
      </c>
      <c r="AT45" s="18">
        <f t="shared" si="13"/>
        <v>0</v>
      </c>
    </row>
    <row r="46" spans="1:46" x14ac:dyDescent="0.35">
      <c r="B46" t="s">
        <v>427</v>
      </c>
      <c r="C46" s="34"/>
      <c r="D46" s="64"/>
      <c r="F46" s="165">
        <f>SUM(G46:AT46)</f>
        <v>5356790.9704530351</v>
      </c>
      <c r="G46" s="33">
        <f>IF(G$20&gt;=$I$3+$I$17,($I$15*$I$4)*(1+$D$27)^(G$20-$I$5),G31)</f>
        <v>31119.606941591777</v>
      </c>
      <c r="H46" s="33">
        <f t="shared" ref="H46:AT46" si="14">IF(H$20&gt;=$I$3+$I$17,($I$15*$I$4)*(1+$D$27)^(H$20-$I$5),H31)</f>
        <v>32114.414836507396</v>
      </c>
      <c r="I46" s="33">
        <f t="shared" si="14"/>
        <v>33141.023992590744</v>
      </c>
      <c r="J46" s="33">
        <f t="shared" si="14"/>
        <v>34200.451008339893</v>
      </c>
      <c r="K46" s="33">
        <f t="shared" si="14"/>
        <v>35293.744980099531</v>
      </c>
      <c r="L46" s="33">
        <f t="shared" si="14"/>
        <v>36421.988540927276</v>
      </c>
      <c r="M46" s="33">
        <f t="shared" si="14"/>
        <v>37586.298932669888</v>
      </c>
      <c r="N46" s="33">
        <f t="shared" si="14"/>
        <v>38787.829112310581</v>
      </c>
      <c r="O46" s="33">
        <f>IF(O$20&gt;=$I$3+$I$17,($I$15*$I$4)*(1+$D$27)^(O$20-$I$5),O31)</f>
        <v>40027.768893683373</v>
      </c>
      <c r="P46" s="33">
        <f t="shared" si="14"/>
        <v>41307.346125684788</v>
      </c>
      <c r="Q46" s="33">
        <f t="shared" si="14"/>
        <v>42627.827908149797</v>
      </c>
      <c r="R46" s="33">
        <f t="shared" si="14"/>
        <v>43990.521846595882</v>
      </c>
      <c r="S46" s="33">
        <f t="shared" si="14"/>
        <v>45396.777347077892</v>
      </c>
      <c r="T46" s="33">
        <f t="shared" si="14"/>
        <v>46847.986952435771</v>
      </c>
      <c r="U46" s="33">
        <f t="shared" si="14"/>
        <v>121628.52796187891</v>
      </c>
      <c r="V46" s="33">
        <f t="shared" si="14"/>
        <v>125516.65611499282</v>
      </c>
      <c r="W46" s="33">
        <f t="shared" si="14"/>
        <v>129529.07698781947</v>
      </c>
      <c r="X46" s="33">
        <f t="shared" si="14"/>
        <v>133669.76387536488</v>
      </c>
      <c r="Y46" s="33">
        <f t="shared" si="14"/>
        <v>137942.81708790388</v>
      </c>
      <c r="Z46" s="33">
        <f t="shared" si="14"/>
        <v>142352.4680113075</v>
      </c>
      <c r="AA46" s="33">
        <f t="shared" si="14"/>
        <v>146903.08329716782</v>
      </c>
      <c r="AB46" s="33">
        <f t="shared" si="14"/>
        <v>151599.1691868694</v>
      </c>
      <c r="AC46" s="33">
        <f t="shared" si="14"/>
        <v>156445.37597388975</v>
      </c>
      <c r="AD46" s="33">
        <f t="shared" si="14"/>
        <v>161446.50260874649</v>
      </c>
      <c r="AE46" s="33">
        <f t="shared" si="14"/>
        <v>166607.50145115287</v>
      </c>
      <c r="AF46" s="33">
        <f t="shared" si="14"/>
        <v>171933.4831740857</v>
      </c>
      <c r="AG46" s="33">
        <f t="shared" si="14"/>
        <v>177429.72182462362</v>
      </c>
      <c r="AH46" s="33">
        <f t="shared" si="14"/>
        <v>183101.66004656532</v>
      </c>
      <c r="AI46" s="33">
        <f t="shared" si="14"/>
        <v>188954.91447000188</v>
      </c>
      <c r="AJ46" s="33">
        <f t="shared" si="14"/>
        <v>194995.28127317748</v>
      </c>
      <c r="AK46" s="33">
        <f t="shared" si="14"/>
        <v>201228.74192214821</v>
      </c>
      <c r="AL46" s="33">
        <f t="shared" si="14"/>
        <v>207661.4690939218</v>
      </c>
      <c r="AM46" s="33">
        <f t="shared" si="14"/>
        <v>214299.83278894355</v>
      </c>
      <c r="AN46" s="33">
        <f t="shared" si="14"/>
        <v>221150.4066389818</v>
      </c>
      <c r="AO46" s="33">
        <f t="shared" si="14"/>
        <v>228219.9744166591</v>
      </c>
      <c r="AP46" s="33">
        <f t="shared" si="14"/>
        <v>235515.53675307464</v>
      </c>
      <c r="AQ46" s="33">
        <f t="shared" si="14"/>
        <v>243044.31807017137</v>
      </c>
      <c r="AR46" s="33">
        <f t="shared" si="14"/>
        <v>250813.77373471073</v>
      </c>
      <c r="AS46" s="33">
        <f t="shared" si="14"/>
        <v>258831.59744094126</v>
      </c>
      <c r="AT46" s="33">
        <f t="shared" si="14"/>
        <v>267105.72882926976</v>
      </c>
    </row>
    <row r="47" spans="1:46" x14ac:dyDescent="0.35">
      <c r="C47" s="34"/>
      <c r="D47" s="64"/>
      <c r="F47" s="165"/>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row>
    <row r="48" spans="1:46" x14ac:dyDescent="0.35">
      <c r="B48" s="8" t="s">
        <v>428</v>
      </c>
      <c r="C48" s="34"/>
      <c r="D48" s="64"/>
      <c r="F48" s="165">
        <f>SUM(G48:AT48)</f>
        <v>5498305.6196674127</v>
      </c>
      <c r="G48" s="18">
        <f>G46+G45</f>
        <v>31119.606941591777</v>
      </c>
      <c r="H48" s="18">
        <f t="shared" ref="H48:AT48" si="15">H46+H45</f>
        <v>32114.414836507396</v>
      </c>
      <c r="I48" s="18">
        <f t="shared" si="15"/>
        <v>33141.023992590744</v>
      </c>
      <c r="J48" s="18">
        <f t="shared" si="15"/>
        <v>34200.451008339893</v>
      </c>
      <c r="K48" s="18">
        <f t="shared" si="15"/>
        <v>35293.744980099531</v>
      </c>
      <c r="L48" s="18">
        <f t="shared" si="15"/>
        <v>36421.988540927276</v>
      </c>
      <c r="M48" s="18">
        <f t="shared" si="15"/>
        <v>37586.298932669888</v>
      </c>
      <c r="N48" s="18">
        <f t="shared" si="15"/>
        <v>38787.829112310581</v>
      </c>
      <c r="O48" s="18">
        <f t="shared" si="15"/>
        <v>40027.768893683373</v>
      </c>
      <c r="P48" s="18">
        <f t="shared" si="15"/>
        <v>50741.656073309954</v>
      </c>
      <c r="Q48" s="18">
        <f t="shared" si="15"/>
        <v>61496.447803400129</v>
      </c>
      <c r="R48" s="18">
        <f t="shared" si="15"/>
        <v>72293.451689471374</v>
      </c>
      <c r="S48" s="18">
        <f t="shared" si="15"/>
        <v>83134.017137578558</v>
      </c>
      <c r="T48" s="18">
        <f t="shared" si="15"/>
        <v>94019.536690561596</v>
      </c>
      <c r="U48" s="18">
        <f t="shared" si="15"/>
        <v>121628.52796187891</v>
      </c>
      <c r="V48" s="18">
        <f>V46+V45</f>
        <v>125516.65611499282</v>
      </c>
      <c r="W48" s="18">
        <f t="shared" si="15"/>
        <v>129529.07698781947</v>
      </c>
      <c r="X48" s="18">
        <f t="shared" si="15"/>
        <v>133669.76387536488</v>
      </c>
      <c r="Y48" s="18">
        <f t="shared" si="15"/>
        <v>137942.81708790388</v>
      </c>
      <c r="Z48" s="18">
        <f t="shared" si="15"/>
        <v>142352.4680113075</v>
      </c>
      <c r="AA48" s="18">
        <f t="shared" si="15"/>
        <v>146903.08329716782</v>
      </c>
      <c r="AB48" s="18">
        <f t="shared" si="15"/>
        <v>151599.1691868694</v>
      </c>
      <c r="AC48" s="18">
        <f t="shared" si="15"/>
        <v>156445.37597388975</v>
      </c>
      <c r="AD48" s="18">
        <f t="shared" si="15"/>
        <v>161446.50260874649</v>
      </c>
      <c r="AE48" s="18">
        <f t="shared" si="15"/>
        <v>166607.50145115287</v>
      </c>
      <c r="AF48" s="18">
        <f t="shared" si="15"/>
        <v>171933.4831740857</v>
      </c>
      <c r="AG48" s="18">
        <f t="shared" si="15"/>
        <v>177429.72182462362</v>
      </c>
      <c r="AH48" s="18">
        <f t="shared" si="15"/>
        <v>183101.66004656532</v>
      </c>
      <c r="AI48" s="18">
        <f t="shared" si="15"/>
        <v>188954.91447000188</v>
      </c>
      <c r="AJ48" s="18">
        <f t="shared" si="15"/>
        <v>194995.28127317748</v>
      </c>
      <c r="AK48" s="18">
        <f t="shared" si="15"/>
        <v>201228.74192214821</v>
      </c>
      <c r="AL48" s="18">
        <f t="shared" si="15"/>
        <v>207661.4690939218</v>
      </c>
      <c r="AM48" s="18">
        <f t="shared" si="15"/>
        <v>214299.83278894355</v>
      </c>
      <c r="AN48" s="18">
        <f t="shared" si="15"/>
        <v>221150.4066389818</v>
      </c>
      <c r="AO48" s="18">
        <f t="shared" si="15"/>
        <v>228219.9744166591</v>
      </c>
      <c r="AP48" s="18">
        <f t="shared" si="15"/>
        <v>235515.53675307464</v>
      </c>
      <c r="AQ48" s="18">
        <f t="shared" si="15"/>
        <v>243044.31807017137</v>
      </c>
      <c r="AR48" s="18">
        <f t="shared" si="15"/>
        <v>250813.77373471073</v>
      </c>
      <c r="AS48" s="18">
        <f t="shared" si="15"/>
        <v>258831.59744094126</v>
      </c>
      <c r="AT48" s="18">
        <f t="shared" si="15"/>
        <v>267105.72882926976</v>
      </c>
    </row>
    <row r="49" spans="1:46" x14ac:dyDescent="0.35">
      <c r="B49" s="8" t="s">
        <v>422</v>
      </c>
      <c r="E49" s="15"/>
      <c r="F49" s="165">
        <f>SUM(G49:AT49)</f>
        <v>224420.63753744541</v>
      </c>
      <c r="G49" s="18">
        <f>G48/$I$8</f>
        <v>1270.1880384323174</v>
      </c>
      <c r="H49" s="18">
        <f t="shared" ref="H49:AT49" si="16">H48/$I$8</f>
        <v>1310.7924423064244</v>
      </c>
      <c r="I49" s="18">
        <f t="shared" si="16"/>
        <v>1352.6948568404387</v>
      </c>
      <c r="J49" s="18">
        <f t="shared" si="16"/>
        <v>1395.9367758506078</v>
      </c>
      <c r="K49" s="18">
        <f t="shared" si="16"/>
        <v>1440.5610195958993</v>
      </c>
      <c r="L49" s="18">
        <f t="shared" si="16"/>
        <v>1486.6117771807051</v>
      </c>
      <c r="M49" s="18">
        <f t="shared" si="16"/>
        <v>1534.1346503130567</v>
      </c>
      <c r="N49" s="18">
        <f t="shared" si="16"/>
        <v>1583.1766984616563</v>
      </c>
      <c r="O49" s="18">
        <f t="shared" si="16"/>
        <v>1633.7864854564641</v>
      </c>
      <c r="P49" s="18">
        <f t="shared" si="16"/>
        <v>2071.0880029922432</v>
      </c>
      <c r="Q49" s="18">
        <f>Q48/$I$8</f>
        <v>2510.059094016332</v>
      </c>
      <c r="R49" s="18">
        <f>R48/$I$8</f>
        <v>2950.7531301825052</v>
      </c>
      <c r="S49" s="18">
        <f t="shared" si="16"/>
        <v>3393.2251892889208</v>
      </c>
      <c r="T49" s="18">
        <f t="shared" si="16"/>
        <v>3837.5321098188406</v>
      </c>
      <c r="U49" s="18">
        <f t="shared" si="16"/>
        <v>4964.4297127297514</v>
      </c>
      <c r="V49" s="18">
        <f t="shared" si="16"/>
        <v>5123.1288210201146</v>
      </c>
      <c r="W49" s="18">
        <f t="shared" si="16"/>
        <v>5286.9011015436517</v>
      </c>
      <c r="X49" s="18">
        <f t="shared" si="16"/>
        <v>5455.90872960673</v>
      </c>
      <c r="Y49" s="18">
        <f t="shared" si="16"/>
        <v>5630.3190648124037</v>
      </c>
      <c r="Z49" s="18">
        <f t="shared" si="16"/>
        <v>5810.3048167880615</v>
      </c>
      <c r="AA49" s="18">
        <f t="shared" si="16"/>
        <v>5996.0442162109312</v>
      </c>
      <c r="AB49" s="18">
        <f t="shared" si="16"/>
        <v>6187.7211913007923</v>
      </c>
      <c r="AC49" s="18">
        <f t="shared" si="16"/>
        <v>6385.5255499546838</v>
      </c>
      <c r="AD49" s="18">
        <f t="shared" si="16"/>
        <v>6589.6531677039384</v>
      </c>
      <c r="AE49" s="18">
        <f t="shared" si="16"/>
        <v>6800.306181679709</v>
      </c>
      <c r="AF49" s="18">
        <f t="shared" si="16"/>
        <v>7017.6931907790085</v>
      </c>
      <c r="AG49" s="18">
        <f t="shared" si="16"/>
        <v>7242.0294622295351</v>
      </c>
      <c r="AH49" s="18">
        <f t="shared" si="16"/>
        <v>7473.5371447577681</v>
      </c>
      <c r="AI49" s="18">
        <f t="shared" si="16"/>
        <v>7712.4454885715049</v>
      </c>
      <c r="AJ49" s="18">
        <f t="shared" si="16"/>
        <v>7958.9910723745907</v>
      </c>
      <c r="AK49" s="18">
        <f t="shared" si="16"/>
        <v>8213.418037638703</v>
      </c>
      <c r="AL49" s="18">
        <f t="shared" si="16"/>
        <v>8475.9783303641543</v>
      </c>
      <c r="AM49" s="18">
        <f t="shared" si="16"/>
        <v>8746.9319505691237</v>
      </c>
      <c r="AN49" s="18">
        <f t="shared" si="16"/>
        <v>9026.5472097543588</v>
      </c>
      <c r="AO49" s="18">
        <f t="shared" si="16"/>
        <v>9315.1009965983303</v>
      </c>
      <c r="AP49" s="18">
        <f t="shared" si="16"/>
        <v>9612.8790511459047</v>
      </c>
      <c r="AQ49" s="18">
        <f t="shared" si="16"/>
        <v>9920.176247762096</v>
      </c>
      <c r="AR49" s="18">
        <f t="shared" si="16"/>
        <v>10237.29688713105</v>
      </c>
      <c r="AS49" s="18">
        <f t="shared" si="16"/>
        <v>10564.554997589439</v>
      </c>
      <c r="AT49" s="18">
        <f t="shared" si="16"/>
        <v>10902.274646092643</v>
      </c>
    </row>
    <row r="50" spans="1:46" ht="4.4000000000000004" customHeight="1" thickBot="1" x14ac:dyDescent="0.4">
      <c r="A50" s="4"/>
      <c r="B50" s="4"/>
      <c r="C50" s="4"/>
      <c r="D50" s="4"/>
      <c r="E50" s="4"/>
      <c r="F50" s="4"/>
      <c r="G50" s="4"/>
      <c r="H50" s="4"/>
      <c r="I50" s="4"/>
      <c r="J50" s="4"/>
      <c r="K50" s="4"/>
      <c r="L50" s="4"/>
      <c r="M50" s="4"/>
      <c r="N50" s="4"/>
      <c r="O50" s="4"/>
      <c r="P50" s="4"/>
      <c r="Q50" s="4"/>
      <c r="R50" s="4"/>
      <c r="S50" s="4"/>
      <c r="T50" s="4"/>
      <c r="U50" s="4"/>
      <c r="V50" s="4"/>
      <c r="W50" s="4"/>
      <c r="X50" s="163"/>
      <c r="Y50" s="4"/>
      <c r="Z50" s="4"/>
      <c r="AA50" s="4"/>
      <c r="AB50" s="4"/>
      <c r="AC50" s="4"/>
      <c r="AD50" s="4"/>
      <c r="AE50" s="4"/>
      <c r="AF50" s="4"/>
      <c r="AG50" s="4"/>
      <c r="AH50" s="4"/>
      <c r="AI50" s="4"/>
      <c r="AJ50" s="4"/>
      <c r="AK50" s="4"/>
      <c r="AL50" s="4"/>
      <c r="AM50" s="4"/>
      <c r="AN50" s="4"/>
      <c r="AO50" s="4"/>
      <c r="AP50" s="4"/>
      <c r="AQ50" s="4"/>
      <c r="AR50" s="4"/>
      <c r="AS50" s="4"/>
      <c r="AT50" s="4"/>
    </row>
    <row r="51" spans="1:46" s="374" customFormat="1" x14ac:dyDescent="0.35">
      <c r="D51" s="375"/>
    </row>
    <row r="52" spans="1:46" x14ac:dyDescent="0.35">
      <c r="A52" s="371" t="s">
        <v>429</v>
      </c>
      <c r="B52" s="372"/>
    </row>
    <row r="53" spans="1:46" s="374" customFormat="1" x14ac:dyDescent="0.35"/>
    <row r="54" spans="1:46" x14ac:dyDescent="0.35">
      <c r="A54" s="8" t="s">
        <v>178</v>
      </c>
      <c r="D54" t="s">
        <v>418</v>
      </c>
      <c r="F54" s="373" t="s">
        <v>46</v>
      </c>
    </row>
    <row r="55" spans="1:46" x14ac:dyDescent="0.35">
      <c r="B55" s="8" t="s">
        <v>419</v>
      </c>
      <c r="C55" s="34"/>
      <c r="D55" s="64">
        <f>Inputs!$D$22</f>
        <v>3.1967238428903366E-2</v>
      </c>
      <c r="E55" s="346"/>
      <c r="F55" s="165">
        <f>SUM(G55:AT55)</f>
        <v>-196960852.69814545</v>
      </c>
      <c r="G55" s="33">
        <f>(G41-G27)*G$22</f>
        <v>0</v>
      </c>
      <c r="H55" s="33">
        <f t="shared" ref="H55:AT55" si="17">(H41-H27)*H$22</f>
        <v>0</v>
      </c>
      <c r="I55" s="33">
        <f t="shared" si="17"/>
        <v>0</v>
      </c>
      <c r="J55" s="33">
        <f t="shared" si="17"/>
        <v>0</v>
      </c>
      <c r="K55" s="33">
        <f t="shared" si="17"/>
        <v>0</v>
      </c>
      <c r="L55" s="33">
        <f t="shared" si="17"/>
        <v>0</v>
      </c>
      <c r="M55" s="33">
        <f t="shared" si="17"/>
        <v>0</v>
      </c>
      <c r="N55" s="33">
        <f t="shared" si="17"/>
        <v>0</v>
      </c>
      <c r="O55" s="33">
        <f t="shared" si="17"/>
        <v>0</v>
      </c>
      <c r="P55" s="33">
        <f t="shared" si="17"/>
        <v>-1219027.2005052641</v>
      </c>
      <c r="Q55" s="33">
        <f t="shared" si="17"/>
        <v>-2438054.4010105282</v>
      </c>
      <c r="R55" s="33">
        <f t="shared" si="17"/>
        <v>-3657081.6015157923</v>
      </c>
      <c r="S55" s="33">
        <f t="shared" si="17"/>
        <v>-4876108.8020210564</v>
      </c>
      <c r="T55" s="33">
        <f t="shared" si="17"/>
        <v>-6095136.0025263205</v>
      </c>
      <c r="U55" s="33">
        <f t="shared" si="17"/>
        <v>-9469044.1571516916</v>
      </c>
      <c r="V55" s="33">
        <f t="shared" si="17"/>
        <v>-9771743.3494171724</v>
      </c>
      <c r="W55" s="33">
        <f t="shared" si="17"/>
        <v>-10084118.998934045</v>
      </c>
      <c r="X55" s="33">
        <f t="shared" si="17"/>
        <v>-10406480.435318395</v>
      </c>
      <c r="Y55" s="33">
        <f t="shared" si="17"/>
        <v>-10739146.876599938</v>
      </c>
      <c r="Z55" s="33">
        <f t="shared" si="17"/>
        <v>-11082447.745327219</v>
      </c>
      <c r="AA55" s="33">
        <f t="shared" si="17"/>
        <v>-11436722.994777963</v>
      </c>
      <c r="AB55" s="33">
        <f t="shared" si="17"/>
        <v>-11802323.445597351</v>
      </c>
      <c r="AC55" s="33">
        <f t="shared" si="17"/>
        <v>-12179611.133197799</v>
      </c>
      <c r="AD55" s="33">
        <f t="shared" si="17"/>
        <v>-12568959.666264057</v>
      </c>
      <c r="AE55" s="33">
        <f t="shared" si="17"/>
        <v>-12970754.596718788</v>
      </c>
      <c r="AF55" s="33">
        <f t="shared" si="17"/>
        <v>-13385393.801514894</v>
      </c>
      <c r="AG55" s="33">
        <f t="shared" si="17"/>
        <v>-13813287.87663269</v>
      </c>
      <c r="AH55" s="33">
        <f t="shared" si="17"/>
        <v>-14254860.543672085</v>
      </c>
      <c r="AI55" s="33">
        <f t="shared" si="17"/>
        <v>-14710549.069442406</v>
      </c>
      <c r="AJ55" s="33">
        <f t="shared" si="17"/>
        <v>0</v>
      </c>
      <c r="AK55" s="33">
        <f t="shared" si="17"/>
        <v>0</v>
      </c>
      <c r="AL55" s="33">
        <f t="shared" si="17"/>
        <v>0</v>
      </c>
      <c r="AM55" s="33">
        <f t="shared" si="17"/>
        <v>0</v>
      </c>
      <c r="AN55" s="33">
        <f t="shared" si="17"/>
        <v>0</v>
      </c>
      <c r="AO55" s="33">
        <f t="shared" si="17"/>
        <v>0</v>
      </c>
      <c r="AP55" s="33">
        <f t="shared" si="17"/>
        <v>0</v>
      </c>
      <c r="AQ55" s="33">
        <f t="shared" si="17"/>
        <v>0</v>
      </c>
      <c r="AR55" s="33">
        <f t="shared" si="17"/>
        <v>0</v>
      </c>
      <c r="AS55" s="33">
        <f t="shared" si="17"/>
        <v>0</v>
      </c>
      <c r="AT55" s="33">
        <f t="shared" si="17"/>
        <v>0</v>
      </c>
    </row>
    <row r="56" spans="1:46" x14ac:dyDescent="0.35">
      <c r="B56" s="8" t="s">
        <v>420</v>
      </c>
      <c r="F56" s="165">
        <f>SUM(G56:AT56)</f>
        <v>-3581106.4126935536</v>
      </c>
      <c r="G56" s="33">
        <f>(G42-G28)*G$22</f>
        <v>0</v>
      </c>
      <c r="H56" s="33">
        <f t="shared" ref="H56:AT56" si="18">(H42-H28)*H$22</f>
        <v>0</v>
      </c>
      <c r="I56" s="33">
        <f t="shared" si="18"/>
        <v>0</v>
      </c>
      <c r="J56" s="33">
        <f t="shared" si="18"/>
        <v>0</v>
      </c>
      <c r="K56" s="33">
        <f t="shared" si="18"/>
        <v>0</v>
      </c>
      <c r="L56" s="33">
        <f t="shared" si="18"/>
        <v>0</v>
      </c>
      <c r="M56" s="33">
        <f t="shared" si="18"/>
        <v>0</v>
      </c>
      <c r="N56" s="33">
        <f t="shared" si="18"/>
        <v>0</v>
      </c>
      <c r="O56" s="33">
        <f t="shared" si="18"/>
        <v>0</v>
      </c>
      <c r="P56" s="33">
        <f t="shared" si="18"/>
        <v>-22164.130918277428</v>
      </c>
      <c r="Q56" s="33">
        <f t="shared" si="18"/>
        <v>-44328.261836555088</v>
      </c>
      <c r="R56" s="33">
        <f t="shared" si="18"/>
        <v>-66492.392754832515</v>
      </c>
      <c r="S56" s="33">
        <f t="shared" si="18"/>
        <v>-88656.523673109943</v>
      </c>
      <c r="T56" s="33">
        <f t="shared" si="18"/>
        <v>-110820.6545913876</v>
      </c>
      <c r="U56" s="33">
        <f t="shared" si="18"/>
        <v>-172164.43922094</v>
      </c>
      <c r="V56" s="33">
        <f t="shared" si="18"/>
        <v>-177668.06089849398</v>
      </c>
      <c r="W56" s="33">
        <f t="shared" si="18"/>
        <v>-183347.61816243734</v>
      </c>
      <c r="X56" s="33">
        <f t="shared" si="18"/>
        <v>-189208.73518760735</v>
      </c>
      <c r="Y56" s="33">
        <f t="shared" si="18"/>
        <v>-195257.21593818069</v>
      </c>
      <c r="Z56" s="33">
        <f t="shared" si="18"/>
        <v>-201499.04991504038</v>
      </c>
      <c r="AA56" s="33">
        <f t="shared" si="18"/>
        <v>-207940.41808687197</v>
      </c>
      <c r="AB56" s="33">
        <f t="shared" si="18"/>
        <v>-214587.69901086087</v>
      </c>
      <c r="AC56" s="33">
        <f t="shared" si="18"/>
        <v>-221447.47514905082</v>
      </c>
      <c r="AD56" s="33">
        <f t="shared" si="18"/>
        <v>-228526.53938661912</v>
      </c>
      <c r="AE56" s="33">
        <f t="shared" si="18"/>
        <v>-235831.90175852343</v>
      </c>
      <c r="AF56" s="33">
        <f t="shared" si="18"/>
        <v>-243370.79639118002</v>
      </c>
      <c r="AG56" s="33">
        <f t="shared" si="18"/>
        <v>-251150.68866604893</v>
      </c>
      <c r="AH56" s="33">
        <f t="shared" si="18"/>
        <v>-259179.28261221969</v>
      </c>
      <c r="AI56" s="33">
        <f t="shared" si="18"/>
        <v>-267464.52853531647</v>
      </c>
      <c r="AJ56" s="33">
        <f t="shared" si="18"/>
        <v>0</v>
      </c>
      <c r="AK56" s="33">
        <f t="shared" si="18"/>
        <v>0</v>
      </c>
      <c r="AL56" s="33">
        <f t="shared" si="18"/>
        <v>0</v>
      </c>
      <c r="AM56" s="33">
        <f t="shared" si="18"/>
        <v>0</v>
      </c>
      <c r="AN56" s="33">
        <f t="shared" si="18"/>
        <v>0</v>
      </c>
      <c r="AO56" s="33">
        <f t="shared" si="18"/>
        <v>0</v>
      </c>
      <c r="AP56" s="33">
        <f t="shared" si="18"/>
        <v>0</v>
      </c>
      <c r="AQ56" s="33">
        <f t="shared" si="18"/>
        <v>0</v>
      </c>
      <c r="AR56" s="33">
        <f t="shared" si="18"/>
        <v>0</v>
      </c>
      <c r="AS56" s="33">
        <f t="shared" si="18"/>
        <v>0</v>
      </c>
      <c r="AT56" s="33">
        <f t="shared" si="18"/>
        <v>0</v>
      </c>
    </row>
    <row r="57" spans="1:46" x14ac:dyDescent="0.35">
      <c r="B57" s="8"/>
      <c r="C57" s="34"/>
      <c r="D57" s="64"/>
      <c r="F57" s="45"/>
      <c r="G57" s="18"/>
      <c r="H57" s="18"/>
      <c r="I57" s="18"/>
      <c r="J57" s="18"/>
      <c r="K57" s="18"/>
      <c r="L57" s="18"/>
      <c r="M57" s="18"/>
      <c r="N57" s="18"/>
      <c r="O57" s="18"/>
      <c r="P57" s="18"/>
      <c r="Q57" s="18"/>
      <c r="R57" s="18"/>
      <c r="S57" s="18"/>
      <c r="T57" s="18"/>
      <c r="U57" s="18"/>
      <c r="V57" s="18"/>
      <c r="W57" s="162"/>
      <c r="X57" s="191"/>
      <c r="Y57" s="164"/>
      <c r="Z57" s="18"/>
      <c r="AA57" s="18"/>
      <c r="AB57" s="18"/>
      <c r="AC57" s="18"/>
      <c r="AD57" s="18"/>
      <c r="AE57" s="18"/>
      <c r="AF57" s="18"/>
      <c r="AG57" s="18"/>
      <c r="AH57" s="18"/>
      <c r="AI57" s="18"/>
      <c r="AJ57" s="18"/>
      <c r="AK57" s="18"/>
      <c r="AL57" s="18"/>
      <c r="AM57" s="18"/>
      <c r="AN57" s="18"/>
      <c r="AO57" s="18"/>
      <c r="AP57" s="18"/>
      <c r="AQ57" s="18"/>
      <c r="AR57" s="18"/>
      <c r="AS57" s="18"/>
      <c r="AT57" s="18"/>
    </row>
    <row r="58" spans="1:46" x14ac:dyDescent="0.35">
      <c r="A58" s="8" t="s">
        <v>129</v>
      </c>
      <c r="B58" s="8"/>
      <c r="C58" s="34"/>
      <c r="D58" s="64"/>
      <c r="F58" s="373" t="s">
        <v>46</v>
      </c>
      <c r="G58" s="18"/>
      <c r="H58" s="18"/>
      <c r="I58" s="18"/>
      <c r="J58" s="18"/>
      <c r="K58" s="18"/>
      <c r="L58" s="18"/>
      <c r="M58" s="18"/>
      <c r="N58" s="18"/>
      <c r="O58" s="18"/>
      <c r="P58" s="18"/>
      <c r="Q58" s="18"/>
      <c r="R58" s="18"/>
      <c r="S58" s="18"/>
      <c r="T58" s="18"/>
      <c r="U58" s="18"/>
      <c r="V58" s="18"/>
      <c r="W58" s="162"/>
      <c r="X58" s="191"/>
      <c r="Y58" s="164"/>
      <c r="Z58" s="18"/>
      <c r="AA58" s="18"/>
      <c r="AB58" s="18"/>
      <c r="AC58" s="18"/>
      <c r="AD58" s="18"/>
      <c r="AE58" s="18"/>
      <c r="AF58" s="18"/>
      <c r="AG58" s="18"/>
      <c r="AH58" s="18"/>
      <c r="AI58" s="18"/>
      <c r="AJ58" s="18"/>
      <c r="AK58" s="18"/>
      <c r="AL58" s="18"/>
      <c r="AM58" s="18"/>
      <c r="AN58" s="18"/>
      <c r="AO58" s="18"/>
      <c r="AP58" s="18"/>
      <c r="AQ58" s="18"/>
      <c r="AR58" s="18"/>
      <c r="AS58" s="18"/>
      <c r="AT58" s="18"/>
    </row>
    <row r="59" spans="1:46" x14ac:dyDescent="0.35">
      <c r="B59" s="8" t="s">
        <v>421</v>
      </c>
      <c r="C59" s="34"/>
      <c r="D59" s="64"/>
      <c r="F59" s="165">
        <f>SUM(G59:AT59)</f>
        <v>1524321.7962098497</v>
      </c>
      <c r="G59" s="33">
        <f>(G48-G31)*G$22</f>
        <v>0</v>
      </c>
      <c r="H59" s="33">
        <f t="shared" ref="H59:AT59" si="19">(H48-H31)*H$22</f>
        <v>0</v>
      </c>
      <c r="I59" s="33">
        <f t="shared" si="19"/>
        <v>0</v>
      </c>
      <c r="J59" s="33">
        <f t="shared" si="19"/>
        <v>0</v>
      </c>
      <c r="K59" s="33">
        <f t="shared" si="19"/>
        <v>0</v>
      </c>
      <c r="L59" s="33">
        <f t="shared" si="19"/>
        <v>0</v>
      </c>
      <c r="M59" s="33">
        <f t="shared" si="19"/>
        <v>0</v>
      </c>
      <c r="N59" s="33">
        <f t="shared" si="19"/>
        <v>0</v>
      </c>
      <c r="O59" s="33">
        <f t="shared" si="19"/>
        <v>0</v>
      </c>
      <c r="P59" s="33">
        <f t="shared" si="19"/>
        <v>9434.3099476251664</v>
      </c>
      <c r="Q59" s="33">
        <f t="shared" si="19"/>
        <v>18868.619895250333</v>
      </c>
      <c r="R59" s="33">
        <f t="shared" si="19"/>
        <v>28302.929842875492</v>
      </c>
      <c r="S59" s="33">
        <f t="shared" si="19"/>
        <v>37737.239790500666</v>
      </c>
      <c r="T59" s="33">
        <f t="shared" si="19"/>
        <v>47171.549738125825</v>
      </c>
      <c r="U59" s="33">
        <f t="shared" si="19"/>
        <v>73282.940240620461</v>
      </c>
      <c r="V59" s="33">
        <f t="shared" si="19"/>
        <v>75625.593464063451</v>
      </c>
      <c r="W59" s="33">
        <f t="shared" si="19"/>
        <v>78043.134841656487</v>
      </c>
      <c r="X59" s="33">
        <f t="shared" si="19"/>
        <v>80537.958340878773</v>
      </c>
      <c r="Y59" s="33">
        <f t="shared" si="19"/>
        <v>83112.53445773873</v>
      </c>
      <c r="Z59" s="33">
        <f t="shared" si="19"/>
        <v>85769.412663179712</v>
      </c>
      <c r="AA59" s="33">
        <f t="shared" si="19"/>
        <v>88511.223927690589</v>
      </c>
      <c r="AB59" s="33">
        <f t="shared" si="19"/>
        <v>91340.683326621103</v>
      </c>
      <c r="AC59" s="33">
        <f t="shared" si="19"/>
        <v>94260.592728782183</v>
      </c>
      <c r="AD59" s="33">
        <f t="shared" si="19"/>
        <v>97273.843570992904</v>
      </c>
      <c r="AE59" s="33">
        <f t="shared" si="19"/>
        <v>100383.41972132269</v>
      </c>
      <c r="AF59" s="33">
        <f t="shared" si="19"/>
        <v>103592.40043386286</v>
      </c>
      <c r="AG59" s="33">
        <f t="shared" si="19"/>
        <v>106903.96339795465</v>
      </c>
      <c r="AH59" s="33">
        <f t="shared" si="19"/>
        <v>110321.38788489178</v>
      </c>
      <c r="AI59" s="33">
        <f t="shared" si="19"/>
        <v>113848.05799521565</v>
      </c>
      <c r="AJ59" s="33">
        <f t="shared" si="19"/>
        <v>0</v>
      </c>
      <c r="AK59" s="33">
        <f t="shared" si="19"/>
        <v>0</v>
      </c>
      <c r="AL59" s="33">
        <f t="shared" si="19"/>
        <v>0</v>
      </c>
      <c r="AM59" s="33">
        <f t="shared" si="19"/>
        <v>0</v>
      </c>
      <c r="AN59" s="33">
        <f t="shared" si="19"/>
        <v>0</v>
      </c>
      <c r="AO59" s="33">
        <f t="shared" si="19"/>
        <v>0</v>
      </c>
      <c r="AP59" s="33">
        <f t="shared" si="19"/>
        <v>0</v>
      </c>
      <c r="AQ59" s="33">
        <f t="shared" si="19"/>
        <v>0</v>
      </c>
      <c r="AR59" s="33">
        <f t="shared" si="19"/>
        <v>0</v>
      </c>
      <c r="AS59" s="33">
        <f t="shared" si="19"/>
        <v>0</v>
      </c>
      <c r="AT59" s="33">
        <f t="shared" si="19"/>
        <v>0</v>
      </c>
    </row>
    <row r="60" spans="1:46" x14ac:dyDescent="0.35">
      <c r="B60" s="8" t="s">
        <v>422</v>
      </c>
      <c r="E60" s="15"/>
      <c r="F60" s="165">
        <f>SUM(G60:AT60)</f>
        <v>62217.216171830587</v>
      </c>
      <c r="G60" s="33">
        <f>(G49-G32)*G$22</f>
        <v>0</v>
      </c>
      <c r="H60" s="33">
        <f t="shared" ref="H60:AT60" si="20">(H49-H32)*H$22</f>
        <v>0</v>
      </c>
      <c r="I60" s="33">
        <f t="shared" si="20"/>
        <v>0</v>
      </c>
      <c r="J60" s="33">
        <f t="shared" si="20"/>
        <v>0</v>
      </c>
      <c r="K60" s="33">
        <f t="shared" si="20"/>
        <v>0</v>
      </c>
      <c r="L60" s="33">
        <f t="shared" si="20"/>
        <v>0</v>
      </c>
      <c r="M60" s="33">
        <f t="shared" si="20"/>
        <v>0</v>
      </c>
      <c r="N60" s="33">
        <f t="shared" si="20"/>
        <v>0</v>
      </c>
      <c r="O60" s="33">
        <f t="shared" si="20"/>
        <v>0</v>
      </c>
      <c r="P60" s="33">
        <f t="shared" si="20"/>
        <v>385.07387541327239</v>
      </c>
      <c r="Q60" s="33">
        <f t="shared" si="20"/>
        <v>770.14775082654432</v>
      </c>
      <c r="R60" s="33">
        <f t="shared" si="20"/>
        <v>1155.221626239816</v>
      </c>
      <c r="S60" s="33">
        <f t="shared" si="20"/>
        <v>1540.2955016530884</v>
      </c>
      <c r="T60" s="33">
        <f t="shared" si="20"/>
        <v>1925.3693770663601</v>
      </c>
      <c r="U60" s="33">
        <f t="shared" si="20"/>
        <v>2991.1404179845085</v>
      </c>
      <c r="V60" s="33">
        <f t="shared" si="20"/>
        <v>3086.7589169005487</v>
      </c>
      <c r="W60" s="33">
        <f t="shared" si="20"/>
        <v>3185.4340751696523</v>
      </c>
      <c r="X60" s="33">
        <f t="shared" si="20"/>
        <v>3287.2636057501545</v>
      </c>
      <c r="Y60" s="33">
        <f t="shared" si="20"/>
        <v>3392.3483452138262</v>
      </c>
      <c r="Z60" s="33">
        <f t="shared" si="20"/>
        <v>3500.7923535991722</v>
      </c>
      <c r="AA60" s="33">
        <f t="shared" si="20"/>
        <v>3612.7030174567581</v>
      </c>
      <c r="AB60" s="33">
        <f t="shared" si="20"/>
        <v>3728.1911561886168</v>
      </c>
      <c r="AC60" s="33">
        <f t="shared" si="20"/>
        <v>3847.3711317870279</v>
      </c>
      <c r="AD60" s="33">
        <f t="shared" si="20"/>
        <v>3970.3609620813427</v>
      </c>
      <c r="AE60" s="33">
        <f t="shared" si="20"/>
        <v>4097.2824376050075</v>
      </c>
      <c r="AF60" s="33">
        <f t="shared" si="20"/>
        <v>4228.2612421984841</v>
      </c>
      <c r="AG60" s="33">
        <f t="shared" si="20"/>
        <v>4363.4270774675369</v>
      </c>
      <c r="AH60" s="33">
        <f t="shared" si="20"/>
        <v>4502.9137912200731</v>
      </c>
      <c r="AI60" s="33">
        <f t="shared" si="20"/>
        <v>4646.8595100088023</v>
      </c>
      <c r="AJ60" s="33">
        <f t="shared" si="20"/>
        <v>0</v>
      </c>
      <c r="AK60" s="33">
        <f t="shared" si="20"/>
        <v>0</v>
      </c>
      <c r="AL60" s="33">
        <f t="shared" si="20"/>
        <v>0</v>
      </c>
      <c r="AM60" s="33">
        <f t="shared" si="20"/>
        <v>0</v>
      </c>
      <c r="AN60" s="33">
        <f t="shared" si="20"/>
        <v>0</v>
      </c>
      <c r="AO60" s="33">
        <f t="shared" si="20"/>
        <v>0</v>
      </c>
      <c r="AP60" s="33">
        <f t="shared" si="20"/>
        <v>0</v>
      </c>
      <c r="AQ60" s="33">
        <f t="shared" si="20"/>
        <v>0</v>
      </c>
      <c r="AR60" s="33">
        <f t="shared" si="20"/>
        <v>0</v>
      </c>
      <c r="AS60" s="33">
        <f t="shared" si="20"/>
        <v>0</v>
      </c>
      <c r="AT60" s="33">
        <f t="shared" si="20"/>
        <v>0</v>
      </c>
    </row>
    <row r="61" spans="1:46" x14ac:dyDescent="0.35">
      <c r="B61" s="8"/>
      <c r="C61" s="376"/>
      <c r="D61" s="377"/>
      <c r="F61" s="378"/>
      <c r="G61" s="379"/>
      <c r="H61" s="379"/>
      <c r="I61" s="379"/>
      <c r="J61" s="379"/>
      <c r="K61" s="379"/>
      <c r="L61" s="379"/>
      <c r="M61" s="379"/>
      <c r="N61" s="379"/>
      <c r="O61" s="379"/>
      <c r="P61" s="379"/>
      <c r="Q61" s="379"/>
      <c r="R61" s="379"/>
      <c r="S61" s="379"/>
      <c r="T61" s="379"/>
      <c r="U61" s="379"/>
      <c r="V61" s="379"/>
      <c r="W61" s="68"/>
      <c r="X61" s="380"/>
      <c r="Y61" s="381"/>
      <c r="Z61" s="379"/>
      <c r="AA61" s="379"/>
      <c r="AB61" s="379"/>
      <c r="AC61" s="379"/>
      <c r="AD61" s="379"/>
      <c r="AE61" s="379"/>
      <c r="AF61" s="379"/>
      <c r="AG61" s="379"/>
      <c r="AH61" s="379"/>
      <c r="AI61" s="379"/>
      <c r="AJ61" s="379"/>
      <c r="AK61" s="379"/>
      <c r="AL61" s="379"/>
      <c r="AM61" s="379"/>
      <c r="AN61" s="379"/>
      <c r="AO61" s="379"/>
      <c r="AP61" s="379"/>
      <c r="AQ61" s="379"/>
      <c r="AR61" s="379"/>
      <c r="AS61" s="379"/>
      <c r="AT61" s="379"/>
    </row>
    <row r="62" spans="1:46" x14ac:dyDescent="0.35">
      <c r="W62" s="44"/>
      <c r="X62" s="382"/>
      <c r="Y62" s="21"/>
    </row>
    <row r="63" spans="1:46" x14ac:dyDescent="0.35">
      <c r="B63" s="8"/>
      <c r="C63" s="376"/>
      <c r="D63" s="377"/>
      <c r="F63" s="378"/>
      <c r="G63" s="67"/>
      <c r="H63" s="67"/>
      <c r="I63" s="67"/>
      <c r="J63" s="67"/>
      <c r="K63" s="67"/>
      <c r="L63" s="67"/>
      <c r="M63" s="67"/>
      <c r="N63" s="67"/>
      <c r="O63" s="67"/>
      <c r="P63" s="67"/>
      <c r="Q63" s="67"/>
      <c r="R63" s="67"/>
      <c r="S63" s="67"/>
      <c r="T63" s="67"/>
      <c r="U63" s="67"/>
      <c r="V63" s="67"/>
      <c r="W63" s="69"/>
      <c r="X63" s="72"/>
      <c r="Y63" s="369"/>
      <c r="Z63" s="67"/>
      <c r="AA63" s="67"/>
      <c r="AB63" s="67"/>
      <c r="AC63" s="67"/>
      <c r="AD63" s="67"/>
      <c r="AE63" s="67"/>
      <c r="AF63" s="67"/>
      <c r="AG63" s="67"/>
      <c r="AH63" s="67"/>
      <c r="AI63" s="67"/>
      <c r="AJ63" s="67"/>
      <c r="AK63" s="67"/>
      <c r="AL63" s="67"/>
      <c r="AM63" s="67"/>
      <c r="AN63" s="67"/>
      <c r="AO63" s="67"/>
      <c r="AP63" s="67"/>
      <c r="AQ63" s="67"/>
      <c r="AR63" s="67"/>
      <c r="AS63" s="67"/>
      <c r="AT63" s="67"/>
    </row>
    <row r="64" spans="1:46" x14ac:dyDescent="0.35">
      <c r="E64" s="15"/>
      <c r="F64" s="45"/>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row>
    <row r="65" spans="1:46" ht="4.4000000000000004" customHeight="1" thickBot="1" x14ac:dyDescent="0.4">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row>
    <row r="67" spans="1:46" x14ac:dyDescent="0.35">
      <c r="Z67" s="74"/>
    </row>
    <row r="68" spans="1:46" x14ac:dyDescent="0.35">
      <c r="Z68" s="74"/>
    </row>
    <row r="69" spans="1:46" x14ac:dyDescent="0.35">
      <c r="Z69" s="74"/>
    </row>
    <row r="71" spans="1:46" x14ac:dyDescent="0.35">
      <c r="Z71" s="74"/>
    </row>
    <row r="72" spans="1:46" x14ac:dyDescent="0.35">
      <c r="Z72" s="74"/>
    </row>
    <row r="73" spans="1:46" x14ac:dyDescent="0.35">
      <c r="Z73" s="74"/>
    </row>
  </sheetData>
  <mergeCells count="5">
    <mergeCell ref="N5:R5"/>
    <mergeCell ref="A19:B19"/>
    <mergeCell ref="A20:B20"/>
    <mergeCell ref="A21:B21"/>
    <mergeCell ref="A22:B2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63164-97A2-4C05-8C27-21413271CBDC}">
  <sheetPr codeName="Sheet10">
    <tabColor theme="9" tint="-0.499984740745262"/>
  </sheetPr>
  <dimension ref="A1:AV42"/>
  <sheetViews>
    <sheetView topLeftCell="A13" workbookViewId="0"/>
  </sheetViews>
  <sheetFormatPr defaultRowHeight="14.5" x14ac:dyDescent="0.35"/>
  <cols>
    <col min="1" max="1" width="0.54296875" customWidth="1"/>
    <col min="2" max="2" width="36.54296875" customWidth="1"/>
    <col min="3" max="3" width="37.54296875" customWidth="1"/>
    <col min="4" max="4" width="15.54296875" customWidth="1"/>
    <col min="5" max="5" width="11.453125" customWidth="1"/>
    <col min="6" max="6" width="21" customWidth="1"/>
    <col min="7" max="7" width="31.54296875" customWidth="1"/>
    <col min="8" max="8" width="13.54296875" bestFit="1" customWidth="1"/>
    <col min="9" max="10" width="14.54296875" customWidth="1"/>
    <col min="11" max="11" width="30.54296875" customWidth="1"/>
    <col min="12" max="17" width="14.54296875" customWidth="1"/>
    <col min="18" max="32" width="15" customWidth="1"/>
    <col min="33" max="34" width="14" customWidth="1"/>
    <col min="35" max="35" width="17.54296875" customWidth="1"/>
    <col min="36" max="46" width="13.54296875" customWidth="1"/>
  </cols>
  <sheetData>
    <row r="1" spans="1:46" x14ac:dyDescent="0.35">
      <c r="A1" s="1"/>
      <c r="B1" s="9" t="s">
        <v>17</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6" x14ac:dyDescent="0.3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row>
    <row r="3" spans="1:46" x14ac:dyDescent="0.35">
      <c r="A3" s="793"/>
      <c r="B3" s="793"/>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row>
    <row r="4" spans="1:46" x14ac:dyDescent="0.35">
      <c r="A4" s="1"/>
      <c r="B4" s="2" t="s">
        <v>35</v>
      </c>
      <c r="C4" s="2" t="s">
        <v>36</v>
      </c>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row>
    <row r="5" spans="1:46" x14ac:dyDescent="0.35">
      <c r="A5" s="1"/>
      <c r="B5" s="1" t="s">
        <v>37</v>
      </c>
      <c r="C5" s="1">
        <f>Inputs!D8</f>
        <v>2024</v>
      </c>
      <c r="D5" s="1"/>
      <c r="E5" s="1"/>
      <c r="F5" s="1"/>
      <c r="G5" s="2" t="s">
        <v>35</v>
      </c>
      <c r="H5" s="2" t="s">
        <v>36</v>
      </c>
      <c r="I5" s="2" t="s">
        <v>430</v>
      </c>
      <c r="J5" s="1"/>
      <c r="K5" s="2" t="s">
        <v>35</v>
      </c>
      <c r="L5" s="2" t="s">
        <v>36</v>
      </c>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row>
    <row r="6" spans="1:46" x14ac:dyDescent="0.35">
      <c r="A6" s="1"/>
      <c r="B6" s="1" t="s">
        <v>38</v>
      </c>
      <c r="C6" s="1">
        <f>Inputs!D11</f>
        <v>2033</v>
      </c>
      <c r="D6" s="1"/>
      <c r="E6" s="1"/>
      <c r="F6" s="1"/>
      <c r="G6" s="57" t="s">
        <v>431</v>
      </c>
      <c r="H6" s="16">
        <f>Inputs!D59</f>
        <v>1</v>
      </c>
      <c r="I6" s="7" t="s">
        <v>432</v>
      </c>
      <c r="J6" s="1"/>
      <c r="K6" s="167" t="s">
        <v>429</v>
      </c>
      <c r="L6" s="1">
        <v>-1</v>
      </c>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row>
    <row r="7" spans="1:46" ht="15" thickBot="1" x14ac:dyDescent="0.4">
      <c r="A7" s="1"/>
      <c r="B7" s="1" t="s">
        <v>39</v>
      </c>
      <c r="C7" s="1">
        <f>Inputs!D13</f>
        <v>2052</v>
      </c>
      <c r="D7" s="1"/>
      <c r="E7" s="1"/>
      <c r="F7" s="1"/>
      <c r="G7" s="57" t="str">
        <f>Inputs!B63</f>
        <v>Value of Time, Truck Drivers</v>
      </c>
      <c r="H7" s="16">
        <f>Inputs!D63</f>
        <v>37.200000000000003</v>
      </c>
      <c r="I7" t="s">
        <v>433</v>
      </c>
      <c r="J7" s="3"/>
      <c r="K7" s="4"/>
      <c r="L7" s="4"/>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row>
    <row r="8" spans="1:46" x14ac:dyDescent="0.35">
      <c r="A8" s="1"/>
      <c r="B8" s="1" t="s">
        <v>40</v>
      </c>
      <c r="C8" s="1">
        <f>Inputs!D14</f>
        <v>20</v>
      </c>
      <c r="D8" s="1"/>
      <c r="E8" s="1"/>
      <c r="F8" s="1"/>
      <c r="G8" s="57" t="s">
        <v>434</v>
      </c>
      <c r="H8" s="13">
        <f>Inputs!D70</f>
        <v>1.23</v>
      </c>
      <c r="I8" t="s">
        <v>435</v>
      </c>
      <c r="J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row>
    <row r="9" spans="1:46" x14ac:dyDescent="0.35">
      <c r="A9" s="1"/>
      <c r="B9" s="1" t="s">
        <v>41</v>
      </c>
      <c r="C9" s="10">
        <f>Inputs!D15</f>
        <v>7.0000000000000007E-2</v>
      </c>
      <c r="D9" s="1"/>
      <c r="E9" s="1"/>
      <c r="F9" s="1"/>
      <c r="G9" s="57" t="str">
        <f>Inputs!B64</f>
        <v>Freight Train - Hauling Operating Costs</v>
      </c>
      <c r="H9" s="13">
        <f>Inputs!D64</f>
        <v>655</v>
      </c>
      <c r="I9" t="s">
        <v>433</v>
      </c>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row>
    <row r="10" spans="1:46" ht="15" thickBot="1" x14ac:dyDescent="0.4">
      <c r="A10" s="1"/>
      <c r="B10" s="4"/>
      <c r="C10" s="4"/>
      <c r="D10" s="1"/>
      <c r="E10" s="1"/>
      <c r="F10" s="1"/>
      <c r="G10" s="57" t="str">
        <f>Inputs!B130</f>
        <v>Buses and Trucks - Weighted Average- Congestion</v>
      </c>
      <c r="H10" s="13">
        <f>Inputs!$D$130</f>
        <v>0.13740000000000002</v>
      </c>
      <c r="I10" t="s">
        <v>433</v>
      </c>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row>
    <row r="11" spans="1:46" ht="5.9" customHeight="1" thickBot="1" x14ac:dyDescent="0.4">
      <c r="A11" s="4"/>
      <c r="B11" s="28"/>
      <c r="C11" s="28"/>
      <c r="D11" s="1"/>
      <c r="E11" s="1"/>
      <c r="F11" s="1"/>
      <c r="G11" s="4"/>
      <c r="H11" s="4"/>
      <c r="I11" s="4"/>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row>
    <row r="12" spans="1:46" ht="12" customHeight="1" x14ac:dyDescent="0.35">
      <c r="A12" s="28"/>
      <c r="D12" s="1"/>
      <c r="E12" s="1"/>
      <c r="F12" s="1"/>
      <c r="G12" s="28"/>
      <c r="H12" s="28"/>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row>
    <row r="13" spans="1:46" ht="12" customHeight="1" x14ac:dyDescent="0.35">
      <c r="A13" s="28"/>
      <c r="B13" s="28"/>
      <c r="C13" s="28"/>
      <c r="D13" s="1"/>
      <c r="E13" s="1"/>
      <c r="F13" s="1"/>
      <c r="G13" s="28"/>
      <c r="H13" s="28"/>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row>
    <row r="14" spans="1:46" ht="12" customHeight="1" x14ac:dyDescent="0.35">
      <c r="A14" s="28"/>
      <c r="B14" s="28"/>
      <c r="C14" s="28"/>
      <c r="D14" s="1"/>
      <c r="E14" s="1"/>
      <c r="F14" s="1"/>
      <c r="G14" s="28"/>
      <c r="H14" s="28"/>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row>
    <row r="15" spans="1:46" x14ac:dyDescent="0.35">
      <c r="A15" s="793"/>
      <c r="B15" s="793"/>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row>
    <row r="16" spans="1:46" x14ac:dyDescent="0.35">
      <c r="A16" s="794" t="s">
        <v>42</v>
      </c>
      <c r="B16" s="794"/>
      <c r="C16" s="2"/>
      <c r="D16" s="2"/>
      <c r="E16" s="2"/>
      <c r="F16" s="2"/>
      <c r="G16" s="2">
        <f>C5</f>
        <v>2024</v>
      </c>
      <c r="H16" s="2">
        <f>G16+1</f>
        <v>2025</v>
      </c>
      <c r="I16" s="2">
        <f t="shared" ref="I16:AT16" si="0">H16+1</f>
        <v>2026</v>
      </c>
      <c r="J16" s="2">
        <f t="shared" si="0"/>
        <v>2027</v>
      </c>
      <c r="K16" s="2">
        <f t="shared" si="0"/>
        <v>2028</v>
      </c>
      <c r="L16" s="2">
        <f t="shared" si="0"/>
        <v>2029</v>
      </c>
      <c r="M16" s="2">
        <f t="shared" si="0"/>
        <v>2030</v>
      </c>
      <c r="N16" s="2">
        <f t="shared" si="0"/>
        <v>2031</v>
      </c>
      <c r="O16" s="2">
        <f t="shared" si="0"/>
        <v>2032</v>
      </c>
      <c r="P16" s="2">
        <f t="shared" si="0"/>
        <v>2033</v>
      </c>
      <c r="Q16" s="2">
        <f t="shared" si="0"/>
        <v>2034</v>
      </c>
      <c r="R16" s="2">
        <f t="shared" si="0"/>
        <v>2035</v>
      </c>
      <c r="S16" s="2">
        <f t="shared" si="0"/>
        <v>2036</v>
      </c>
      <c r="T16" s="2">
        <f t="shared" si="0"/>
        <v>2037</v>
      </c>
      <c r="U16" s="2">
        <f t="shared" si="0"/>
        <v>2038</v>
      </c>
      <c r="V16" s="2">
        <f t="shared" si="0"/>
        <v>2039</v>
      </c>
      <c r="W16" s="2">
        <f t="shared" si="0"/>
        <v>2040</v>
      </c>
      <c r="X16" s="2">
        <f t="shared" si="0"/>
        <v>2041</v>
      </c>
      <c r="Y16" s="2">
        <f t="shared" si="0"/>
        <v>2042</v>
      </c>
      <c r="Z16" s="2">
        <f t="shared" si="0"/>
        <v>2043</v>
      </c>
      <c r="AA16" s="2">
        <f t="shared" si="0"/>
        <v>2044</v>
      </c>
      <c r="AB16" s="2">
        <f t="shared" si="0"/>
        <v>2045</v>
      </c>
      <c r="AC16" s="2">
        <f t="shared" si="0"/>
        <v>2046</v>
      </c>
      <c r="AD16" s="2">
        <f t="shared" si="0"/>
        <v>2047</v>
      </c>
      <c r="AE16" s="2">
        <f t="shared" si="0"/>
        <v>2048</v>
      </c>
      <c r="AF16" s="2">
        <f t="shared" si="0"/>
        <v>2049</v>
      </c>
      <c r="AG16" s="2">
        <f t="shared" si="0"/>
        <v>2050</v>
      </c>
      <c r="AH16" s="2">
        <f t="shared" si="0"/>
        <v>2051</v>
      </c>
      <c r="AI16" s="2">
        <f t="shared" si="0"/>
        <v>2052</v>
      </c>
      <c r="AJ16" s="2">
        <f t="shared" si="0"/>
        <v>2053</v>
      </c>
      <c r="AK16" s="2">
        <f t="shared" si="0"/>
        <v>2054</v>
      </c>
      <c r="AL16" s="2">
        <f t="shared" si="0"/>
        <v>2055</v>
      </c>
      <c r="AM16" s="2">
        <f t="shared" si="0"/>
        <v>2056</v>
      </c>
      <c r="AN16" s="2">
        <f t="shared" si="0"/>
        <v>2057</v>
      </c>
      <c r="AO16" s="2">
        <f t="shared" si="0"/>
        <v>2058</v>
      </c>
      <c r="AP16" s="2">
        <f t="shared" si="0"/>
        <v>2059</v>
      </c>
      <c r="AQ16" s="2">
        <f t="shared" si="0"/>
        <v>2060</v>
      </c>
      <c r="AR16" s="2">
        <f t="shared" si="0"/>
        <v>2061</v>
      </c>
      <c r="AS16" s="2">
        <f t="shared" si="0"/>
        <v>2062</v>
      </c>
      <c r="AT16" s="2">
        <f t="shared" si="0"/>
        <v>2063</v>
      </c>
    </row>
    <row r="17" spans="1:46" x14ac:dyDescent="0.35">
      <c r="A17" s="794" t="s">
        <v>286</v>
      </c>
      <c r="B17" s="794"/>
      <c r="C17" s="1"/>
      <c r="D17" s="1"/>
      <c r="E17" s="1"/>
      <c r="F17" s="1"/>
      <c r="G17" s="11">
        <f t="shared" ref="G17:AJ17" si="1">IF(G16="","",1/((1+$C$9)^(G16-$C$5)))</f>
        <v>1</v>
      </c>
      <c r="H17" s="11">
        <f t="shared" si="1"/>
        <v>0.93457943925233644</v>
      </c>
      <c r="I17" s="11">
        <f t="shared" si="1"/>
        <v>0.87343872827321156</v>
      </c>
      <c r="J17" s="11">
        <f t="shared" si="1"/>
        <v>0.81629787689085187</v>
      </c>
      <c r="K17" s="11">
        <f t="shared" si="1"/>
        <v>0.7628952120475252</v>
      </c>
      <c r="L17" s="11">
        <f t="shared" si="1"/>
        <v>0.71298617948366838</v>
      </c>
      <c r="M17" s="11">
        <f t="shared" si="1"/>
        <v>0.66634222381651254</v>
      </c>
      <c r="N17" s="11">
        <f t="shared" si="1"/>
        <v>0.62274974188459109</v>
      </c>
      <c r="O17" s="11">
        <f t="shared" si="1"/>
        <v>0.5820091045650384</v>
      </c>
      <c r="P17" s="11">
        <f t="shared" si="1"/>
        <v>0.54393374258414806</v>
      </c>
      <c r="Q17" s="11">
        <f t="shared" si="1"/>
        <v>0.5083492921347178</v>
      </c>
      <c r="R17" s="11">
        <f t="shared" si="1"/>
        <v>0.47509279638758667</v>
      </c>
      <c r="S17" s="11">
        <f t="shared" si="1"/>
        <v>0.44401195924073528</v>
      </c>
      <c r="T17" s="11">
        <f t="shared" si="1"/>
        <v>0.41496444788853759</v>
      </c>
      <c r="U17" s="11">
        <f t="shared" si="1"/>
        <v>0.3878172410173249</v>
      </c>
      <c r="V17" s="11">
        <f t="shared" si="1"/>
        <v>0.36244601964235967</v>
      </c>
      <c r="W17" s="11">
        <f t="shared" si="1"/>
        <v>0.33873459779659787</v>
      </c>
      <c r="X17" s="11">
        <f t="shared" si="1"/>
        <v>0.31657439046411018</v>
      </c>
      <c r="Y17" s="11">
        <f t="shared" si="1"/>
        <v>0.29586391632159825</v>
      </c>
      <c r="Z17" s="11">
        <f t="shared" si="1"/>
        <v>0.27650833301083949</v>
      </c>
      <c r="AA17" s="11">
        <f t="shared" si="1"/>
        <v>0.2584190028138687</v>
      </c>
      <c r="AB17" s="11">
        <f t="shared" si="1"/>
        <v>0.24151308674193336</v>
      </c>
      <c r="AC17" s="11">
        <f t="shared" si="1"/>
        <v>0.22571316517937698</v>
      </c>
      <c r="AD17" s="11">
        <f t="shared" si="1"/>
        <v>0.21094688334521211</v>
      </c>
      <c r="AE17" s="11">
        <f t="shared" si="1"/>
        <v>0.19714661994879637</v>
      </c>
      <c r="AF17" s="11">
        <f t="shared" si="1"/>
        <v>0.18424917752223957</v>
      </c>
      <c r="AG17" s="11">
        <f t="shared" si="1"/>
        <v>0.17219549301143888</v>
      </c>
      <c r="AH17" s="11">
        <f t="shared" si="1"/>
        <v>0.16093036730041013</v>
      </c>
      <c r="AI17" s="11">
        <f t="shared" si="1"/>
        <v>0.15040221243028987</v>
      </c>
      <c r="AJ17" s="11">
        <f t="shared" si="1"/>
        <v>0.1405628153554111</v>
      </c>
      <c r="AK17" s="11">
        <f t="shared" ref="AK17:AT17" si="2">IF(AK16="","",1/((1+$C$9)^(AK16-$C$5)))</f>
        <v>0.13136711715458982</v>
      </c>
      <c r="AL17" s="11">
        <f t="shared" si="2"/>
        <v>0.1227730066865325</v>
      </c>
      <c r="AM17" s="11">
        <f t="shared" si="2"/>
        <v>0.11474112774442291</v>
      </c>
      <c r="AN17" s="11">
        <f t="shared" si="2"/>
        <v>0.10723469882656347</v>
      </c>
      <c r="AO17" s="11">
        <f t="shared" si="2"/>
        <v>0.10021934469772288</v>
      </c>
      <c r="AP17" s="11">
        <f t="shared" si="2"/>
        <v>9.366293896983445E-2</v>
      </c>
      <c r="AQ17" s="11">
        <f t="shared" si="2"/>
        <v>8.7535456981153698E-2</v>
      </c>
      <c r="AR17" s="11">
        <f t="shared" si="2"/>
        <v>8.1808838300143641E-2</v>
      </c>
      <c r="AS17" s="11">
        <f t="shared" si="2"/>
        <v>7.6456858224433308E-2</v>
      </c>
      <c r="AT17" s="11">
        <f t="shared" si="2"/>
        <v>7.1455007686386268E-2</v>
      </c>
    </row>
    <row r="18" spans="1:46" x14ac:dyDescent="0.35">
      <c r="A18" s="794" t="s">
        <v>44</v>
      </c>
      <c r="B18" s="794"/>
      <c r="G18" s="82">
        <f>IF(AND(G12&gt;=$C$6,G12&lt;=$C$7),1,0)</f>
        <v>0</v>
      </c>
      <c r="H18" s="83">
        <f t="shared" ref="H18:AJ18" si="3">IF(AND(H16&gt;=$C$6,H16&lt;=$C$7),1,0)</f>
        <v>0</v>
      </c>
      <c r="I18" s="83">
        <f t="shared" si="3"/>
        <v>0</v>
      </c>
      <c r="J18" s="83">
        <f t="shared" si="3"/>
        <v>0</v>
      </c>
      <c r="K18" s="83">
        <f t="shared" si="3"/>
        <v>0</v>
      </c>
      <c r="L18" s="83">
        <f t="shared" si="3"/>
        <v>0</v>
      </c>
      <c r="M18" s="83">
        <f t="shared" si="3"/>
        <v>0</v>
      </c>
      <c r="N18">
        <f t="shared" si="3"/>
        <v>0</v>
      </c>
      <c r="O18">
        <f t="shared" si="3"/>
        <v>0</v>
      </c>
      <c r="P18">
        <f t="shared" si="3"/>
        <v>1</v>
      </c>
      <c r="Q18">
        <f t="shared" si="3"/>
        <v>1</v>
      </c>
      <c r="R18">
        <f t="shared" si="3"/>
        <v>1</v>
      </c>
      <c r="S18">
        <f t="shared" si="3"/>
        <v>1</v>
      </c>
      <c r="T18">
        <f t="shared" si="3"/>
        <v>1</v>
      </c>
      <c r="U18">
        <f t="shared" si="3"/>
        <v>1</v>
      </c>
      <c r="V18">
        <f t="shared" si="3"/>
        <v>1</v>
      </c>
      <c r="W18">
        <f t="shared" si="3"/>
        <v>1</v>
      </c>
      <c r="X18">
        <f t="shared" si="3"/>
        <v>1</v>
      </c>
      <c r="Y18">
        <f t="shared" si="3"/>
        <v>1</v>
      </c>
      <c r="Z18">
        <f t="shared" si="3"/>
        <v>1</v>
      </c>
      <c r="AA18">
        <f t="shared" si="3"/>
        <v>1</v>
      </c>
      <c r="AB18">
        <f t="shared" si="3"/>
        <v>1</v>
      </c>
      <c r="AC18">
        <f t="shared" si="3"/>
        <v>1</v>
      </c>
      <c r="AD18">
        <f t="shared" si="3"/>
        <v>1</v>
      </c>
      <c r="AE18">
        <f t="shared" si="3"/>
        <v>1</v>
      </c>
      <c r="AF18">
        <f t="shared" si="3"/>
        <v>1</v>
      </c>
      <c r="AG18">
        <f t="shared" si="3"/>
        <v>1</v>
      </c>
      <c r="AH18">
        <f t="shared" si="3"/>
        <v>1</v>
      </c>
      <c r="AI18">
        <f t="shared" si="3"/>
        <v>1</v>
      </c>
      <c r="AJ18">
        <f t="shared" si="3"/>
        <v>0</v>
      </c>
      <c r="AK18">
        <f t="shared" ref="AK18:AT18" si="4">IF(AND(AK16&gt;=$C$6,AK16&lt;=$C$7),1,0)</f>
        <v>0</v>
      </c>
      <c r="AL18">
        <f t="shared" si="4"/>
        <v>0</v>
      </c>
      <c r="AM18">
        <f t="shared" si="4"/>
        <v>0</v>
      </c>
      <c r="AN18">
        <f t="shared" si="4"/>
        <v>0</v>
      </c>
      <c r="AO18">
        <f t="shared" si="4"/>
        <v>0</v>
      </c>
      <c r="AP18">
        <f t="shared" si="4"/>
        <v>0</v>
      </c>
      <c r="AQ18">
        <f t="shared" si="4"/>
        <v>0</v>
      </c>
      <c r="AR18">
        <f t="shared" si="4"/>
        <v>0</v>
      </c>
      <c r="AS18">
        <f t="shared" si="4"/>
        <v>0</v>
      </c>
      <c r="AT18">
        <f t="shared" si="4"/>
        <v>0</v>
      </c>
    </row>
    <row r="19" spans="1:46" ht="4.4000000000000004" customHeight="1" thickBot="1" x14ac:dyDescent="0.4">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row>
    <row r="20" spans="1:46" x14ac:dyDescent="0.35">
      <c r="A20" s="371" t="s">
        <v>429</v>
      </c>
      <c r="B20" s="372"/>
    </row>
    <row r="21" spans="1:46" s="374" customFormat="1" x14ac:dyDescent="0.35"/>
    <row r="22" spans="1:46" x14ac:dyDescent="0.35">
      <c r="A22" s="8" t="s">
        <v>178</v>
      </c>
      <c r="D22" t="s">
        <v>418</v>
      </c>
      <c r="F22" s="373" t="s">
        <v>46</v>
      </c>
    </row>
    <row r="23" spans="1:46" x14ac:dyDescent="0.35">
      <c r="B23" s="8" t="s">
        <v>419</v>
      </c>
      <c r="C23" s="34"/>
      <c r="D23" s="64">
        <f>Inputs!$D$22</f>
        <v>3.1967238428903366E-2</v>
      </c>
      <c r="F23" s="165">
        <f>'Traffic Calcs'!F55</f>
        <v>-196960852.69814545</v>
      </c>
      <c r="G23" s="165">
        <f>'Traffic Calcs'!G55</f>
        <v>0</v>
      </c>
      <c r="H23" s="165">
        <f>'Traffic Calcs'!H55</f>
        <v>0</v>
      </c>
      <c r="I23" s="165">
        <f>'Traffic Calcs'!I55</f>
        <v>0</v>
      </c>
      <c r="J23" s="165">
        <f>'Traffic Calcs'!J55</f>
        <v>0</v>
      </c>
      <c r="K23" s="165">
        <f>'Traffic Calcs'!K55</f>
        <v>0</v>
      </c>
      <c r="L23" s="165">
        <f>'Traffic Calcs'!L55</f>
        <v>0</v>
      </c>
      <c r="M23" s="165">
        <f>'Traffic Calcs'!M55</f>
        <v>0</v>
      </c>
      <c r="N23" s="165">
        <f>'Traffic Calcs'!N55</f>
        <v>0</v>
      </c>
      <c r="O23" s="165">
        <f>'Traffic Calcs'!O55</f>
        <v>0</v>
      </c>
      <c r="P23" s="165">
        <f>'Traffic Calcs'!P55</f>
        <v>-1219027.2005052641</v>
      </c>
      <c r="Q23" s="165">
        <f>'Traffic Calcs'!Q55</f>
        <v>-2438054.4010105282</v>
      </c>
      <c r="R23" s="165">
        <f>'Traffic Calcs'!R55</f>
        <v>-3657081.6015157923</v>
      </c>
      <c r="S23" s="165">
        <f>'Traffic Calcs'!S55</f>
        <v>-4876108.8020210564</v>
      </c>
      <c r="T23" s="165">
        <f>'Traffic Calcs'!T55</f>
        <v>-6095136.0025263205</v>
      </c>
      <c r="U23" s="165">
        <f>'Traffic Calcs'!U55</f>
        <v>-9469044.1571516916</v>
      </c>
      <c r="V23" s="165">
        <f>'Traffic Calcs'!V55</f>
        <v>-9771743.3494171724</v>
      </c>
      <c r="W23" s="165">
        <f>'Traffic Calcs'!W55</f>
        <v>-10084118.998934045</v>
      </c>
      <c r="X23" s="165">
        <f>'Traffic Calcs'!X55</f>
        <v>-10406480.435318395</v>
      </c>
      <c r="Y23" s="165">
        <f>'Traffic Calcs'!Y55</f>
        <v>-10739146.876599938</v>
      </c>
      <c r="Z23" s="165">
        <f>'Traffic Calcs'!Z55</f>
        <v>-11082447.745327219</v>
      </c>
      <c r="AA23" s="165">
        <f>'Traffic Calcs'!AA55</f>
        <v>-11436722.994777963</v>
      </c>
      <c r="AB23" s="165">
        <f>'Traffic Calcs'!AB55</f>
        <v>-11802323.445597351</v>
      </c>
      <c r="AC23" s="165">
        <f>'Traffic Calcs'!AC55</f>
        <v>-12179611.133197799</v>
      </c>
      <c r="AD23" s="165">
        <f>'Traffic Calcs'!AD55</f>
        <v>-12568959.666264057</v>
      </c>
      <c r="AE23" s="165">
        <f>'Traffic Calcs'!AE55</f>
        <v>-12970754.596718788</v>
      </c>
      <c r="AF23" s="165">
        <f>'Traffic Calcs'!AF55</f>
        <v>-13385393.801514894</v>
      </c>
      <c r="AG23" s="165">
        <f>'Traffic Calcs'!AG55</f>
        <v>-13813287.87663269</v>
      </c>
      <c r="AH23" s="165">
        <f>'Traffic Calcs'!AH55</f>
        <v>-14254860.543672085</v>
      </c>
      <c r="AI23" s="165">
        <f>'Traffic Calcs'!AI55</f>
        <v>-14710549.069442406</v>
      </c>
      <c r="AJ23" s="165">
        <f>'Traffic Calcs'!AJ55</f>
        <v>0</v>
      </c>
      <c r="AK23" s="165">
        <f>'Traffic Calcs'!AK55</f>
        <v>0</v>
      </c>
      <c r="AL23" s="165">
        <f>'Traffic Calcs'!AL55</f>
        <v>0</v>
      </c>
      <c r="AM23" s="165">
        <f>'Traffic Calcs'!AM55</f>
        <v>0</v>
      </c>
      <c r="AN23" s="165">
        <f>'Traffic Calcs'!AN55</f>
        <v>0</v>
      </c>
      <c r="AO23" s="165">
        <f>'Traffic Calcs'!AO55</f>
        <v>0</v>
      </c>
      <c r="AP23" s="165">
        <f>'Traffic Calcs'!AP55</f>
        <v>0</v>
      </c>
      <c r="AQ23" s="165">
        <f>'Traffic Calcs'!AQ55</f>
        <v>0</v>
      </c>
      <c r="AR23" s="165">
        <f>'Traffic Calcs'!AR55</f>
        <v>0</v>
      </c>
      <c r="AS23" s="165">
        <f>'Traffic Calcs'!AS55</f>
        <v>0</v>
      </c>
      <c r="AT23" s="165">
        <f>'Traffic Calcs'!AT55</f>
        <v>0</v>
      </c>
    </row>
    <row r="24" spans="1:46" x14ac:dyDescent="0.35">
      <c r="B24" s="8" t="s">
        <v>420</v>
      </c>
      <c r="F24" s="165">
        <f>'Traffic Calcs'!F56</f>
        <v>-3581106.4126935536</v>
      </c>
      <c r="G24" s="165">
        <f>'Traffic Calcs'!G56</f>
        <v>0</v>
      </c>
      <c r="H24" s="165">
        <f>'Traffic Calcs'!H56</f>
        <v>0</v>
      </c>
      <c r="I24" s="165">
        <f>'Traffic Calcs'!I56</f>
        <v>0</v>
      </c>
      <c r="J24" s="165">
        <f>'Traffic Calcs'!J56</f>
        <v>0</v>
      </c>
      <c r="K24" s="165">
        <f>'Traffic Calcs'!K56</f>
        <v>0</v>
      </c>
      <c r="L24" s="165">
        <f>'Traffic Calcs'!L56</f>
        <v>0</v>
      </c>
      <c r="M24" s="165">
        <f>'Traffic Calcs'!M56</f>
        <v>0</v>
      </c>
      <c r="N24" s="165">
        <f>'Traffic Calcs'!N56</f>
        <v>0</v>
      </c>
      <c r="O24" s="165">
        <f>'Traffic Calcs'!O56</f>
        <v>0</v>
      </c>
      <c r="P24" s="165">
        <f>'Traffic Calcs'!P56</f>
        <v>-22164.130918277428</v>
      </c>
      <c r="Q24" s="165">
        <f>'Traffic Calcs'!Q56</f>
        <v>-44328.261836555088</v>
      </c>
      <c r="R24" s="165">
        <f>'Traffic Calcs'!R56</f>
        <v>-66492.392754832515</v>
      </c>
      <c r="S24" s="165">
        <f>'Traffic Calcs'!S56</f>
        <v>-88656.523673109943</v>
      </c>
      <c r="T24" s="165">
        <f>'Traffic Calcs'!T56</f>
        <v>-110820.6545913876</v>
      </c>
      <c r="U24" s="165">
        <f>'Traffic Calcs'!U56</f>
        <v>-172164.43922094</v>
      </c>
      <c r="V24" s="165">
        <f>'Traffic Calcs'!V56</f>
        <v>-177668.06089849398</v>
      </c>
      <c r="W24" s="165">
        <f>'Traffic Calcs'!W56</f>
        <v>-183347.61816243734</v>
      </c>
      <c r="X24" s="165">
        <f>'Traffic Calcs'!X56</f>
        <v>-189208.73518760735</v>
      </c>
      <c r="Y24" s="165">
        <f>'Traffic Calcs'!Y56</f>
        <v>-195257.21593818069</v>
      </c>
      <c r="Z24" s="165">
        <f>'Traffic Calcs'!Z56</f>
        <v>-201499.04991504038</v>
      </c>
      <c r="AA24" s="165">
        <f>'Traffic Calcs'!AA56</f>
        <v>-207940.41808687197</v>
      </c>
      <c r="AB24" s="165">
        <f>'Traffic Calcs'!AB56</f>
        <v>-214587.69901086087</v>
      </c>
      <c r="AC24" s="165">
        <f>'Traffic Calcs'!AC56</f>
        <v>-221447.47514905082</v>
      </c>
      <c r="AD24" s="165">
        <f>'Traffic Calcs'!AD56</f>
        <v>-228526.53938661912</v>
      </c>
      <c r="AE24" s="165">
        <f>'Traffic Calcs'!AE56</f>
        <v>-235831.90175852343</v>
      </c>
      <c r="AF24" s="165">
        <f>'Traffic Calcs'!AF56</f>
        <v>-243370.79639118002</v>
      </c>
      <c r="AG24" s="165">
        <f>'Traffic Calcs'!AG56</f>
        <v>-251150.68866604893</v>
      </c>
      <c r="AH24" s="165">
        <f>'Traffic Calcs'!AH56</f>
        <v>-259179.28261221969</v>
      </c>
      <c r="AI24" s="165">
        <f>'Traffic Calcs'!AI56</f>
        <v>-267464.52853531647</v>
      </c>
      <c r="AJ24" s="165">
        <f>'Traffic Calcs'!AJ56</f>
        <v>0</v>
      </c>
      <c r="AK24" s="165">
        <f>'Traffic Calcs'!AK56</f>
        <v>0</v>
      </c>
      <c r="AL24" s="165">
        <f>'Traffic Calcs'!AL56</f>
        <v>0</v>
      </c>
      <c r="AM24" s="165">
        <f>'Traffic Calcs'!AM56</f>
        <v>0</v>
      </c>
      <c r="AN24" s="165">
        <f>'Traffic Calcs'!AN56</f>
        <v>0</v>
      </c>
      <c r="AO24" s="165">
        <f>'Traffic Calcs'!AO56</f>
        <v>0</v>
      </c>
      <c r="AP24" s="165">
        <f>'Traffic Calcs'!AP56</f>
        <v>0</v>
      </c>
      <c r="AQ24" s="165">
        <f>'Traffic Calcs'!AQ56</f>
        <v>0</v>
      </c>
      <c r="AR24" s="165">
        <f>'Traffic Calcs'!AR56</f>
        <v>0</v>
      </c>
      <c r="AS24" s="165">
        <f>'Traffic Calcs'!AS56</f>
        <v>0</v>
      </c>
      <c r="AT24" s="165">
        <f>'Traffic Calcs'!AT56</f>
        <v>0</v>
      </c>
    </row>
    <row r="25" spans="1:46" x14ac:dyDescent="0.35">
      <c r="B25" s="8"/>
      <c r="C25" s="34"/>
      <c r="D25" s="64"/>
      <c r="F25" s="165">
        <f>'Traffic Calcs'!F57</f>
        <v>0</v>
      </c>
      <c r="G25" s="165">
        <f>'Traffic Calcs'!G57</f>
        <v>0</v>
      </c>
      <c r="H25" s="165">
        <f>'Traffic Calcs'!H57</f>
        <v>0</v>
      </c>
      <c r="I25" s="165">
        <f>'Traffic Calcs'!I57</f>
        <v>0</v>
      </c>
      <c r="J25" s="165">
        <f>'Traffic Calcs'!J57</f>
        <v>0</v>
      </c>
      <c r="K25" s="165">
        <f>'Traffic Calcs'!K57</f>
        <v>0</v>
      </c>
      <c r="L25" s="165">
        <f>'Traffic Calcs'!L57</f>
        <v>0</v>
      </c>
      <c r="M25" s="165">
        <f>'Traffic Calcs'!M57</f>
        <v>0</v>
      </c>
      <c r="N25" s="165">
        <f>'Traffic Calcs'!N57</f>
        <v>0</v>
      </c>
      <c r="O25" s="165">
        <f>'Traffic Calcs'!O57</f>
        <v>0</v>
      </c>
      <c r="P25" s="165">
        <f>'Traffic Calcs'!P57</f>
        <v>0</v>
      </c>
      <c r="Q25" s="165">
        <f>'Traffic Calcs'!Q57</f>
        <v>0</v>
      </c>
      <c r="R25" s="165">
        <f>'Traffic Calcs'!R57</f>
        <v>0</v>
      </c>
      <c r="S25" s="165">
        <f>'Traffic Calcs'!S57</f>
        <v>0</v>
      </c>
      <c r="T25" s="165">
        <f>'Traffic Calcs'!T57</f>
        <v>0</v>
      </c>
      <c r="U25" s="165">
        <f>'Traffic Calcs'!U57</f>
        <v>0</v>
      </c>
      <c r="V25" s="165">
        <f>'Traffic Calcs'!V57</f>
        <v>0</v>
      </c>
      <c r="W25" s="165">
        <f>'Traffic Calcs'!W57</f>
        <v>0</v>
      </c>
      <c r="X25" s="165">
        <f>'Traffic Calcs'!X57</f>
        <v>0</v>
      </c>
      <c r="Y25" s="165">
        <f>'Traffic Calcs'!Y57</f>
        <v>0</v>
      </c>
      <c r="Z25" s="165">
        <f>'Traffic Calcs'!Z57</f>
        <v>0</v>
      </c>
      <c r="AA25" s="165">
        <f>'Traffic Calcs'!AA57</f>
        <v>0</v>
      </c>
      <c r="AB25" s="165">
        <f>'Traffic Calcs'!AB57</f>
        <v>0</v>
      </c>
      <c r="AC25" s="165">
        <f>'Traffic Calcs'!AC57</f>
        <v>0</v>
      </c>
      <c r="AD25" s="165">
        <f>'Traffic Calcs'!AD57</f>
        <v>0</v>
      </c>
      <c r="AE25" s="165">
        <f>'Traffic Calcs'!AE57</f>
        <v>0</v>
      </c>
      <c r="AF25" s="165">
        <f>'Traffic Calcs'!AF57</f>
        <v>0</v>
      </c>
      <c r="AG25" s="165">
        <f>'Traffic Calcs'!AG57</f>
        <v>0</v>
      </c>
      <c r="AH25" s="165">
        <f>'Traffic Calcs'!AH57</f>
        <v>0</v>
      </c>
      <c r="AI25" s="165">
        <f>'Traffic Calcs'!AI57</f>
        <v>0</v>
      </c>
      <c r="AJ25" s="165">
        <f>'Traffic Calcs'!AJ57</f>
        <v>0</v>
      </c>
      <c r="AK25" s="165">
        <f>'Traffic Calcs'!AK57</f>
        <v>0</v>
      </c>
      <c r="AL25" s="165">
        <f>'Traffic Calcs'!AL57</f>
        <v>0</v>
      </c>
      <c r="AM25" s="165">
        <f>'Traffic Calcs'!AM57</f>
        <v>0</v>
      </c>
      <c r="AN25" s="165">
        <f>'Traffic Calcs'!AN57</f>
        <v>0</v>
      </c>
      <c r="AO25" s="165">
        <f>'Traffic Calcs'!AO57</f>
        <v>0</v>
      </c>
      <c r="AP25" s="165">
        <f>'Traffic Calcs'!AP57</f>
        <v>0</v>
      </c>
      <c r="AQ25" s="165">
        <f>'Traffic Calcs'!AQ57</f>
        <v>0</v>
      </c>
      <c r="AR25" s="165">
        <f>'Traffic Calcs'!AR57</f>
        <v>0</v>
      </c>
      <c r="AS25" s="165">
        <f>'Traffic Calcs'!AS57</f>
        <v>0</v>
      </c>
      <c r="AT25" s="165">
        <f>'Traffic Calcs'!AT57</f>
        <v>0</v>
      </c>
    </row>
    <row r="26" spans="1:46" x14ac:dyDescent="0.35">
      <c r="A26" s="8" t="s">
        <v>129</v>
      </c>
      <c r="B26" s="8"/>
      <c r="C26" s="34"/>
      <c r="D26" s="64"/>
      <c r="F26" s="165" t="str">
        <f>'Traffic Calcs'!F58</f>
        <v>Total</v>
      </c>
      <c r="G26" s="165">
        <f>'Traffic Calcs'!G58</f>
        <v>0</v>
      </c>
      <c r="H26" s="165">
        <f>'Traffic Calcs'!H58</f>
        <v>0</v>
      </c>
      <c r="I26" s="165">
        <f>'Traffic Calcs'!I58</f>
        <v>0</v>
      </c>
      <c r="J26" s="165">
        <f>'Traffic Calcs'!J58</f>
        <v>0</v>
      </c>
      <c r="K26" s="165">
        <f>'Traffic Calcs'!K58</f>
        <v>0</v>
      </c>
      <c r="L26" s="165">
        <f>'Traffic Calcs'!L58</f>
        <v>0</v>
      </c>
      <c r="M26" s="165">
        <f>'Traffic Calcs'!M58</f>
        <v>0</v>
      </c>
      <c r="N26" s="165">
        <f>'Traffic Calcs'!N58</f>
        <v>0</v>
      </c>
      <c r="O26" s="165">
        <f>'Traffic Calcs'!O58</f>
        <v>0</v>
      </c>
      <c r="P26" s="165">
        <f>'Traffic Calcs'!P58</f>
        <v>0</v>
      </c>
      <c r="Q26" s="165">
        <f>'Traffic Calcs'!Q58</f>
        <v>0</v>
      </c>
      <c r="R26" s="165">
        <f>'Traffic Calcs'!R58</f>
        <v>0</v>
      </c>
      <c r="S26" s="165">
        <f>'Traffic Calcs'!S58</f>
        <v>0</v>
      </c>
      <c r="T26" s="165">
        <f>'Traffic Calcs'!T58</f>
        <v>0</v>
      </c>
      <c r="U26" s="165">
        <f>'Traffic Calcs'!U58</f>
        <v>0</v>
      </c>
      <c r="V26" s="165">
        <f>'Traffic Calcs'!V58</f>
        <v>0</v>
      </c>
      <c r="W26" s="165">
        <f>'Traffic Calcs'!W58</f>
        <v>0</v>
      </c>
      <c r="X26" s="165">
        <f>'Traffic Calcs'!X58</f>
        <v>0</v>
      </c>
      <c r="Y26" s="165">
        <f>'Traffic Calcs'!Y58</f>
        <v>0</v>
      </c>
      <c r="Z26" s="165">
        <f>'Traffic Calcs'!Z58</f>
        <v>0</v>
      </c>
      <c r="AA26" s="165">
        <f>'Traffic Calcs'!AA58</f>
        <v>0</v>
      </c>
      <c r="AB26" s="165">
        <f>'Traffic Calcs'!AB58</f>
        <v>0</v>
      </c>
      <c r="AC26" s="165">
        <f>'Traffic Calcs'!AC58</f>
        <v>0</v>
      </c>
      <c r="AD26" s="165">
        <f>'Traffic Calcs'!AD58</f>
        <v>0</v>
      </c>
      <c r="AE26" s="165">
        <f>'Traffic Calcs'!AE58</f>
        <v>0</v>
      </c>
      <c r="AF26" s="165">
        <f>'Traffic Calcs'!AF58</f>
        <v>0</v>
      </c>
      <c r="AG26" s="165">
        <f>'Traffic Calcs'!AG58</f>
        <v>0</v>
      </c>
      <c r="AH26" s="165">
        <f>'Traffic Calcs'!AH58</f>
        <v>0</v>
      </c>
      <c r="AI26" s="165">
        <f>'Traffic Calcs'!AI58</f>
        <v>0</v>
      </c>
      <c r="AJ26" s="165">
        <f>'Traffic Calcs'!AJ58</f>
        <v>0</v>
      </c>
      <c r="AK26" s="165">
        <f>'Traffic Calcs'!AK58</f>
        <v>0</v>
      </c>
      <c r="AL26" s="165">
        <f>'Traffic Calcs'!AL58</f>
        <v>0</v>
      </c>
      <c r="AM26" s="165">
        <f>'Traffic Calcs'!AM58</f>
        <v>0</v>
      </c>
      <c r="AN26" s="165">
        <f>'Traffic Calcs'!AN58</f>
        <v>0</v>
      </c>
      <c r="AO26" s="165">
        <f>'Traffic Calcs'!AO58</f>
        <v>0</v>
      </c>
      <c r="AP26" s="165">
        <f>'Traffic Calcs'!AP58</f>
        <v>0</v>
      </c>
      <c r="AQ26" s="165">
        <f>'Traffic Calcs'!AQ58</f>
        <v>0</v>
      </c>
      <c r="AR26" s="165">
        <f>'Traffic Calcs'!AR58</f>
        <v>0</v>
      </c>
      <c r="AS26" s="165">
        <f>'Traffic Calcs'!AS58</f>
        <v>0</v>
      </c>
      <c r="AT26" s="165">
        <f>'Traffic Calcs'!AT58</f>
        <v>0</v>
      </c>
    </row>
    <row r="27" spans="1:46" x14ac:dyDescent="0.35">
      <c r="B27" s="8" t="s">
        <v>421</v>
      </c>
      <c r="C27" s="34"/>
      <c r="D27" s="64"/>
      <c r="F27" s="165">
        <f>'Traffic Calcs'!F59</f>
        <v>1524321.7962098497</v>
      </c>
      <c r="G27" s="165">
        <f>'Traffic Calcs'!G59</f>
        <v>0</v>
      </c>
      <c r="H27" s="165">
        <f>'Traffic Calcs'!H59</f>
        <v>0</v>
      </c>
      <c r="I27" s="165">
        <f>'Traffic Calcs'!I59</f>
        <v>0</v>
      </c>
      <c r="J27" s="165">
        <f>'Traffic Calcs'!J59</f>
        <v>0</v>
      </c>
      <c r="K27" s="165">
        <f>'Traffic Calcs'!K59</f>
        <v>0</v>
      </c>
      <c r="L27" s="165">
        <f>'Traffic Calcs'!L59</f>
        <v>0</v>
      </c>
      <c r="M27" s="165">
        <f>'Traffic Calcs'!M59</f>
        <v>0</v>
      </c>
      <c r="N27" s="165">
        <f>'Traffic Calcs'!N59</f>
        <v>0</v>
      </c>
      <c r="O27" s="165">
        <f>'Traffic Calcs'!O59</f>
        <v>0</v>
      </c>
      <c r="P27" s="165">
        <f>'Traffic Calcs'!P59</f>
        <v>9434.3099476251664</v>
      </c>
      <c r="Q27" s="165">
        <f>'Traffic Calcs'!Q59</f>
        <v>18868.619895250333</v>
      </c>
      <c r="R27" s="165">
        <f>'Traffic Calcs'!R59</f>
        <v>28302.929842875492</v>
      </c>
      <c r="S27" s="165">
        <f>'Traffic Calcs'!S59</f>
        <v>37737.239790500666</v>
      </c>
      <c r="T27" s="165">
        <f>'Traffic Calcs'!T59</f>
        <v>47171.549738125825</v>
      </c>
      <c r="U27" s="165">
        <f>'Traffic Calcs'!U59</f>
        <v>73282.940240620461</v>
      </c>
      <c r="V27" s="165">
        <f>'Traffic Calcs'!V59</f>
        <v>75625.593464063451</v>
      </c>
      <c r="W27" s="165">
        <f>'Traffic Calcs'!W59</f>
        <v>78043.134841656487</v>
      </c>
      <c r="X27" s="165">
        <f>'Traffic Calcs'!X59</f>
        <v>80537.958340878773</v>
      </c>
      <c r="Y27" s="165">
        <f>'Traffic Calcs'!Y59</f>
        <v>83112.53445773873</v>
      </c>
      <c r="Z27" s="165">
        <f>'Traffic Calcs'!Z59</f>
        <v>85769.412663179712</v>
      </c>
      <c r="AA27" s="165">
        <f>'Traffic Calcs'!AA59</f>
        <v>88511.223927690589</v>
      </c>
      <c r="AB27" s="165">
        <f>'Traffic Calcs'!AB59</f>
        <v>91340.683326621103</v>
      </c>
      <c r="AC27" s="165">
        <f>'Traffic Calcs'!AC59</f>
        <v>94260.592728782183</v>
      </c>
      <c r="AD27" s="165">
        <f>'Traffic Calcs'!AD59</f>
        <v>97273.843570992904</v>
      </c>
      <c r="AE27" s="165">
        <f>'Traffic Calcs'!AE59</f>
        <v>100383.41972132269</v>
      </c>
      <c r="AF27" s="165">
        <f>'Traffic Calcs'!AF59</f>
        <v>103592.40043386286</v>
      </c>
      <c r="AG27" s="165">
        <f>'Traffic Calcs'!AG59</f>
        <v>106903.96339795465</v>
      </c>
      <c r="AH27" s="165">
        <f>'Traffic Calcs'!AH59</f>
        <v>110321.38788489178</v>
      </c>
      <c r="AI27" s="165">
        <f>'Traffic Calcs'!AI59</f>
        <v>113848.05799521565</v>
      </c>
      <c r="AJ27" s="165">
        <f>'Traffic Calcs'!AJ59</f>
        <v>0</v>
      </c>
      <c r="AK27" s="165">
        <f>'Traffic Calcs'!AK59</f>
        <v>0</v>
      </c>
      <c r="AL27" s="165">
        <f>'Traffic Calcs'!AL59</f>
        <v>0</v>
      </c>
      <c r="AM27" s="165">
        <f>'Traffic Calcs'!AM59</f>
        <v>0</v>
      </c>
      <c r="AN27" s="165">
        <f>'Traffic Calcs'!AN59</f>
        <v>0</v>
      </c>
      <c r="AO27" s="165">
        <f>'Traffic Calcs'!AO59</f>
        <v>0</v>
      </c>
      <c r="AP27" s="165">
        <f>'Traffic Calcs'!AP59</f>
        <v>0</v>
      </c>
      <c r="AQ27" s="165">
        <f>'Traffic Calcs'!AQ59</f>
        <v>0</v>
      </c>
      <c r="AR27" s="165">
        <f>'Traffic Calcs'!AR59</f>
        <v>0</v>
      </c>
      <c r="AS27" s="165">
        <f>'Traffic Calcs'!AS59</f>
        <v>0</v>
      </c>
      <c r="AT27" s="165">
        <f>'Traffic Calcs'!AT59</f>
        <v>0</v>
      </c>
    </row>
    <row r="28" spans="1:46" x14ac:dyDescent="0.35">
      <c r="B28" s="8" t="s">
        <v>422</v>
      </c>
      <c r="E28" s="15"/>
      <c r="F28" s="165">
        <f>'Traffic Calcs'!F60</f>
        <v>62217.216171830587</v>
      </c>
      <c r="G28" s="165">
        <f>'Traffic Calcs'!G60</f>
        <v>0</v>
      </c>
      <c r="H28" s="165">
        <f>'Traffic Calcs'!H60</f>
        <v>0</v>
      </c>
      <c r="I28" s="165">
        <f>'Traffic Calcs'!I60</f>
        <v>0</v>
      </c>
      <c r="J28" s="165">
        <f>'Traffic Calcs'!J60</f>
        <v>0</v>
      </c>
      <c r="K28" s="165">
        <f>'Traffic Calcs'!K60</f>
        <v>0</v>
      </c>
      <c r="L28" s="165">
        <f>'Traffic Calcs'!L60</f>
        <v>0</v>
      </c>
      <c r="M28" s="165">
        <f>'Traffic Calcs'!M60</f>
        <v>0</v>
      </c>
      <c r="N28" s="165">
        <f>'Traffic Calcs'!N60</f>
        <v>0</v>
      </c>
      <c r="O28" s="165">
        <f>'Traffic Calcs'!O60</f>
        <v>0</v>
      </c>
      <c r="P28" s="165">
        <f>'Traffic Calcs'!P60</f>
        <v>385.07387541327239</v>
      </c>
      <c r="Q28" s="165">
        <f>'Traffic Calcs'!Q60</f>
        <v>770.14775082654432</v>
      </c>
      <c r="R28" s="165">
        <f>'Traffic Calcs'!R60</f>
        <v>1155.221626239816</v>
      </c>
      <c r="S28" s="165">
        <f>'Traffic Calcs'!S60</f>
        <v>1540.2955016530884</v>
      </c>
      <c r="T28" s="165">
        <f>'Traffic Calcs'!T60</f>
        <v>1925.3693770663601</v>
      </c>
      <c r="U28" s="165">
        <f>'Traffic Calcs'!U60</f>
        <v>2991.1404179845085</v>
      </c>
      <c r="V28" s="165">
        <f>'Traffic Calcs'!V60</f>
        <v>3086.7589169005487</v>
      </c>
      <c r="W28" s="165">
        <f>'Traffic Calcs'!W60</f>
        <v>3185.4340751696523</v>
      </c>
      <c r="X28" s="165">
        <f>'Traffic Calcs'!X60</f>
        <v>3287.2636057501545</v>
      </c>
      <c r="Y28" s="165">
        <f>'Traffic Calcs'!Y60</f>
        <v>3392.3483452138262</v>
      </c>
      <c r="Z28" s="165">
        <f>'Traffic Calcs'!Z60</f>
        <v>3500.7923535991722</v>
      </c>
      <c r="AA28" s="165">
        <f>'Traffic Calcs'!AA60</f>
        <v>3612.7030174567581</v>
      </c>
      <c r="AB28" s="165">
        <f>'Traffic Calcs'!AB60</f>
        <v>3728.1911561886168</v>
      </c>
      <c r="AC28" s="165">
        <f>'Traffic Calcs'!AC60</f>
        <v>3847.3711317870279</v>
      </c>
      <c r="AD28" s="165">
        <f>'Traffic Calcs'!AD60</f>
        <v>3970.3609620813427</v>
      </c>
      <c r="AE28" s="165">
        <f>'Traffic Calcs'!AE60</f>
        <v>4097.2824376050075</v>
      </c>
      <c r="AF28" s="165">
        <f>'Traffic Calcs'!AF60</f>
        <v>4228.2612421984841</v>
      </c>
      <c r="AG28" s="165">
        <f>'Traffic Calcs'!AG60</f>
        <v>4363.4270774675369</v>
      </c>
      <c r="AH28" s="165">
        <f>'Traffic Calcs'!AH60</f>
        <v>4502.9137912200731</v>
      </c>
      <c r="AI28" s="165">
        <f>'Traffic Calcs'!AI60</f>
        <v>4646.8595100088023</v>
      </c>
      <c r="AJ28" s="165">
        <f>'Traffic Calcs'!AJ60</f>
        <v>0</v>
      </c>
      <c r="AK28" s="165">
        <f>'Traffic Calcs'!AK60</f>
        <v>0</v>
      </c>
      <c r="AL28" s="165">
        <f>'Traffic Calcs'!AL60</f>
        <v>0</v>
      </c>
      <c r="AM28" s="165">
        <f>'Traffic Calcs'!AM60</f>
        <v>0</v>
      </c>
      <c r="AN28" s="165">
        <f>'Traffic Calcs'!AN60</f>
        <v>0</v>
      </c>
      <c r="AO28" s="165">
        <f>'Traffic Calcs'!AO60</f>
        <v>0</v>
      </c>
      <c r="AP28" s="165">
        <f>'Traffic Calcs'!AP60</f>
        <v>0</v>
      </c>
      <c r="AQ28" s="165">
        <f>'Traffic Calcs'!AQ60</f>
        <v>0</v>
      </c>
      <c r="AR28" s="165">
        <f>'Traffic Calcs'!AR60</f>
        <v>0</v>
      </c>
      <c r="AS28" s="165">
        <f>'Traffic Calcs'!AS60</f>
        <v>0</v>
      </c>
      <c r="AT28" s="165">
        <f>'Traffic Calcs'!AT60</f>
        <v>0</v>
      </c>
    </row>
    <row r="29" spans="1:46" ht="4.4000000000000004" customHeight="1" thickBot="1" x14ac:dyDescent="0.4">
      <c r="A29" s="4"/>
      <c r="B29" s="4"/>
      <c r="C29" s="4"/>
      <c r="D29" s="4"/>
      <c r="E29" s="4"/>
      <c r="F29" s="4"/>
      <c r="G29" s="4"/>
      <c r="H29" s="4"/>
      <c r="I29" s="4"/>
      <c r="J29" s="4"/>
      <c r="K29" s="4"/>
      <c r="L29" s="4"/>
      <c r="M29" s="4"/>
      <c r="N29" s="4"/>
      <c r="O29" s="4"/>
      <c r="P29" s="4"/>
      <c r="Q29" s="4"/>
      <c r="R29" s="4"/>
      <c r="S29" s="4"/>
      <c r="T29" s="4"/>
      <c r="U29" s="4"/>
      <c r="V29" s="4"/>
      <c r="W29" s="4"/>
      <c r="X29" s="163"/>
      <c r="Y29" s="4"/>
      <c r="Z29" s="4"/>
      <c r="AA29" s="4"/>
      <c r="AB29" s="4"/>
      <c r="AC29" s="4"/>
      <c r="AD29" s="4"/>
      <c r="AE29" s="4"/>
      <c r="AF29" s="4"/>
      <c r="AG29" s="4"/>
      <c r="AH29" s="4"/>
      <c r="AI29" s="4"/>
      <c r="AJ29" s="4"/>
      <c r="AK29" s="4"/>
      <c r="AL29" s="4"/>
      <c r="AM29" s="4"/>
      <c r="AN29" s="4"/>
      <c r="AO29" s="4"/>
      <c r="AP29" s="4"/>
      <c r="AQ29" s="4"/>
      <c r="AR29" s="4"/>
      <c r="AS29" s="4"/>
      <c r="AT29" s="4"/>
    </row>
    <row r="30" spans="1:46" x14ac:dyDescent="0.35">
      <c r="Q30" s="46"/>
      <c r="R30" s="46"/>
      <c r="S30" s="46"/>
      <c r="T30" s="46"/>
      <c r="U30" s="46"/>
      <c r="V30" s="46"/>
      <c r="W30" s="46"/>
      <c r="X30" s="298"/>
      <c r="Y30" s="189"/>
      <c r="Z30" s="46"/>
      <c r="AA30" s="46"/>
      <c r="AB30" s="46"/>
      <c r="AC30" s="46"/>
      <c r="AD30" s="46"/>
      <c r="AE30" s="46"/>
    </row>
    <row r="31" spans="1:46" x14ac:dyDescent="0.35">
      <c r="A31" s="371"/>
      <c r="B31" s="372" t="s">
        <v>178</v>
      </c>
    </row>
    <row r="32" spans="1:46" x14ac:dyDescent="0.35">
      <c r="B32" t="s">
        <v>436</v>
      </c>
      <c r="F32" s="391">
        <f>SUM(G32:AT32)</f>
        <v>242261848.81871888</v>
      </c>
      <c r="G32" s="384">
        <f>G23*$H$8*$L$6</f>
        <v>0</v>
      </c>
      <c r="H32" s="384">
        <f>H23*$H$8*$L$6</f>
        <v>0</v>
      </c>
      <c r="I32" s="384">
        <f t="shared" ref="I32:AT32" si="5">I23*$H$8*$L$6</f>
        <v>0</v>
      </c>
      <c r="J32" s="384">
        <f t="shared" si="5"/>
        <v>0</v>
      </c>
      <c r="K32" s="384">
        <f t="shared" si="5"/>
        <v>0</v>
      </c>
      <c r="L32" s="384">
        <f t="shared" si="5"/>
        <v>0</v>
      </c>
      <c r="M32" s="384">
        <f t="shared" si="5"/>
        <v>0</v>
      </c>
      <c r="N32" s="384">
        <f t="shared" si="5"/>
        <v>0</v>
      </c>
      <c r="O32" s="384">
        <f t="shared" si="5"/>
        <v>0</v>
      </c>
      <c r="P32" s="384">
        <f t="shared" si="5"/>
        <v>1499403.4566214748</v>
      </c>
      <c r="Q32" s="384">
        <f t="shared" si="5"/>
        <v>2998806.9132429496</v>
      </c>
      <c r="R32" s="384">
        <f t="shared" si="5"/>
        <v>4498210.3698644247</v>
      </c>
      <c r="S32" s="384">
        <f t="shared" si="5"/>
        <v>5997613.8264858993</v>
      </c>
      <c r="T32" s="384">
        <f t="shared" si="5"/>
        <v>7497017.2831073739</v>
      </c>
      <c r="U32" s="384">
        <f t="shared" si="5"/>
        <v>11646924.313296581</v>
      </c>
      <c r="V32" s="384">
        <f t="shared" si="5"/>
        <v>12019244.319783121</v>
      </c>
      <c r="W32" s="384">
        <f t="shared" si="5"/>
        <v>12403466.368688876</v>
      </c>
      <c r="X32" s="384">
        <f t="shared" si="5"/>
        <v>12799970.935441626</v>
      </c>
      <c r="Y32" s="384">
        <f t="shared" si="5"/>
        <v>13209150.658217924</v>
      </c>
      <c r="Z32" s="384">
        <f t="shared" si="5"/>
        <v>13631410.72675248</v>
      </c>
      <c r="AA32" s="384">
        <f t="shared" si="5"/>
        <v>14067169.283576895</v>
      </c>
      <c r="AB32" s="384">
        <f t="shared" si="5"/>
        <v>14516857.838084741</v>
      </c>
      <c r="AC32" s="384">
        <f t="shared" si="5"/>
        <v>14980921.693833293</v>
      </c>
      <c r="AD32" s="384">
        <f t="shared" si="5"/>
        <v>15459820.38950479</v>
      </c>
      <c r="AE32" s="384">
        <f t="shared" si="5"/>
        <v>15954028.15396411</v>
      </c>
      <c r="AF32" s="384">
        <f t="shared" si="5"/>
        <v>16464034.375863319</v>
      </c>
      <c r="AG32" s="384">
        <f t="shared" si="5"/>
        <v>16990344.088258211</v>
      </c>
      <c r="AH32" s="384">
        <f t="shared" si="5"/>
        <v>17533478.468716662</v>
      </c>
      <c r="AI32" s="384">
        <f t="shared" si="5"/>
        <v>18093975.35541416</v>
      </c>
      <c r="AJ32" s="384">
        <f t="shared" si="5"/>
        <v>0</v>
      </c>
      <c r="AK32" s="384">
        <f t="shared" si="5"/>
        <v>0</v>
      </c>
      <c r="AL32" s="384">
        <f t="shared" si="5"/>
        <v>0</v>
      </c>
      <c r="AM32" s="384">
        <f t="shared" si="5"/>
        <v>0</v>
      </c>
      <c r="AN32" s="384">
        <f t="shared" si="5"/>
        <v>0</v>
      </c>
      <c r="AO32" s="384">
        <f t="shared" si="5"/>
        <v>0</v>
      </c>
      <c r="AP32" s="384">
        <f t="shared" si="5"/>
        <v>0</v>
      </c>
      <c r="AQ32" s="384">
        <f t="shared" si="5"/>
        <v>0</v>
      </c>
      <c r="AR32" s="384">
        <f t="shared" si="5"/>
        <v>0</v>
      </c>
      <c r="AS32" s="384">
        <f t="shared" si="5"/>
        <v>0</v>
      </c>
      <c r="AT32" s="384">
        <f t="shared" si="5"/>
        <v>0</v>
      </c>
    </row>
    <row r="33" spans="1:48" x14ac:dyDescent="0.35">
      <c r="B33" t="s">
        <v>437</v>
      </c>
      <c r="F33" s="391">
        <f>SUM(G33:AT33)</f>
        <v>133217158.5522002</v>
      </c>
      <c r="G33" s="384">
        <f>G24*$H$6*$H$7*$L$6</f>
        <v>0</v>
      </c>
      <c r="H33" s="384">
        <f t="shared" ref="H33:AT33" si="6">H24*$H$6*$H$7*$L$6</f>
        <v>0</v>
      </c>
      <c r="I33" s="384">
        <f t="shared" si="6"/>
        <v>0</v>
      </c>
      <c r="J33" s="384">
        <f t="shared" si="6"/>
        <v>0</v>
      </c>
      <c r="K33" s="384">
        <f t="shared" si="6"/>
        <v>0</v>
      </c>
      <c r="L33" s="384">
        <f t="shared" si="6"/>
        <v>0</v>
      </c>
      <c r="M33" s="384">
        <f t="shared" si="6"/>
        <v>0</v>
      </c>
      <c r="N33" s="384">
        <f t="shared" si="6"/>
        <v>0</v>
      </c>
      <c r="O33" s="384">
        <f t="shared" si="6"/>
        <v>0</v>
      </c>
      <c r="P33" s="384">
        <f t="shared" si="6"/>
        <v>824505.67015992035</v>
      </c>
      <c r="Q33" s="384">
        <f t="shared" si="6"/>
        <v>1649011.3403198493</v>
      </c>
      <c r="R33" s="384">
        <f t="shared" si="6"/>
        <v>2473517.0104797697</v>
      </c>
      <c r="S33" s="384">
        <f t="shared" si="6"/>
        <v>3298022.6806396903</v>
      </c>
      <c r="T33" s="384">
        <f t="shared" si="6"/>
        <v>4122528.3507996192</v>
      </c>
      <c r="U33" s="384">
        <f t="shared" si="6"/>
        <v>6404517.1390189687</v>
      </c>
      <c r="V33" s="384">
        <f t="shared" si="6"/>
        <v>6609251.8654239764</v>
      </c>
      <c r="W33" s="384">
        <f t="shared" si="6"/>
        <v>6820531.3956426699</v>
      </c>
      <c r="X33" s="384">
        <f t="shared" si="6"/>
        <v>7038564.948978994</v>
      </c>
      <c r="Y33" s="384">
        <f t="shared" si="6"/>
        <v>7263568.4329003217</v>
      </c>
      <c r="Z33" s="384">
        <f t="shared" si="6"/>
        <v>7495764.656839503</v>
      </c>
      <c r="AA33" s="384">
        <f t="shared" si="6"/>
        <v>7735383.5528316377</v>
      </c>
      <c r="AB33" s="384">
        <f t="shared" si="6"/>
        <v>7982662.4032040248</v>
      </c>
      <c r="AC33" s="384">
        <f t="shared" si="6"/>
        <v>8237846.0755446907</v>
      </c>
      <c r="AD33" s="384">
        <f t="shared" si="6"/>
        <v>8501187.2651822325</v>
      </c>
      <c r="AE33" s="384">
        <f t="shared" si="6"/>
        <v>8772946.7454170715</v>
      </c>
      <c r="AF33" s="384">
        <f t="shared" si="6"/>
        <v>9053393.6257518977</v>
      </c>
      <c r="AG33" s="384">
        <f t="shared" si="6"/>
        <v>9342805.6183770206</v>
      </c>
      <c r="AH33" s="384">
        <f t="shared" si="6"/>
        <v>9641469.3131745737</v>
      </c>
      <c r="AI33" s="384">
        <f t="shared" si="6"/>
        <v>9949680.4615137726</v>
      </c>
      <c r="AJ33" s="384">
        <f t="shared" si="6"/>
        <v>0</v>
      </c>
      <c r="AK33" s="384">
        <f t="shared" si="6"/>
        <v>0</v>
      </c>
      <c r="AL33" s="384">
        <f t="shared" si="6"/>
        <v>0</v>
      </c>
      <c r="AM33" s="384">
        <f t="shared" si="6"/>
        <v>0</v>
      </c>
      <c r="AN33" s="384">
        <f t="shared" si="6"/>
        <v>0</v>
      </c>
      <c r="AO33" s="384">
        <f t="shared" si="6"/>
        <v>0</v>
      </c>
      <c r="AP33" s="384">
        <f t="shared" si="6"/>
        <v>0</v>
      </c>
      <c r="AQ33" s="384">
        <f t="shared" si="6"/>
        <v>0</v>
      </c>
      <c r="AR33" s="384">
        <f t="shared" si="6"/>
        <v>0</v>
      </c>
      <c r="AS33" s="384">
        <f t="shared" si="6"/>
        <v>0</v>
      </c>
      <c r="AT33" s="384">
        <f t="shared" si="6"/>
        <v>0</v>
      </c>
    </row>
    <row r="34" spans="1:48" x14ac:dyDescent="0.35">
      <c r="B34" t="s">
        <v>438</v>
      </c>
      <c r="F34" s="391">
        <f>SUM(G34:AT34)</f>
        <v>27062421.160725184</v>
      </c>
      <c r="G34" s="384">
        <f>$H$10*G23*$L$6</f>
        <v>0</v>
      </c>
      <c r="H34" s="384">
        <f t="shared" ref="H34:AT34" si="7">$H$10*H23*$L$6</f>
        <v>0</v>
      </c>
      <c r="I34" s="384">
        <f t="shared" si="7"/>
        <v>0</v>
      </c>
      <c r="J34" s="384">
        <f t="shared" si="7"/>
        <v>0</v>
      </c>
      <c r="K34" s="384">
        <f t="shared" si="7"/>
        <v>0</v>
      </c>
      <c r="L34" s="384">
        <f t="shared" si="7"/>
        <v>0</v>
      </c>
      <c r="M34" s="384">
        <f t="shared" si="7"/>
        <v>0</v>
      </c>
      <c r="N34" s="384">
        <f t="shared" si="7"/>
        <v>0</v>
      </c>
      <c r="O34" s="384">
        <f t="shared" si="7"/>
        <v>0</v>
      </c>
      <c r="P34" s="384">
        <f t="shared" si="7"/>
        <v>167494.33734942332</v>
      </c>
      <c r="Q34" s="384">
        <f t="shared" si="7"/>
        <v>334988.67469884665</v>
      </c>
      <c r="R34" s="384">
        <f t="shared" si="7"/>
        <v>502483.01204826997</v>
      </c>
      <c r="S34" s="384">
        <f t="shared" si="7"/>
        <v>669977.3493976933</v>
      </c>
      <c r="T34" s="384">
        <f t="shared" si="7"/>
        <v>837471.68674711662</v>
      </c>
      <c r="U34" s="384">
        <f t="shared" si="7"/>
        <v>1301046.6671926426</v>
      </c>
      <c r="V34" s="384">
        <f t="shared" si="7"/>
        <v>1342637.5362099197</v>
      </c>
      <c r="W34" s="384">
        <f t="shared" si="7"/>
        <v>1385557.950453538</v>
      </c>
      <c r="X34" s="384">
        <f t="shared" si="7"/>
        <v>1429850.4118127478</v>
      </c>
      <c r="Y34" s="384">
        <f t="shared" si="7"/>
        <v>1475558.7808448316</v>
      </c>
      <c r="Z34" s="384">
        <f t="shared" si="7"/>
        <v>1522728.3202079602</v>
      </c>
      <c r="AA34" s="384">
        <f t="shared" si="7"/>
        <v>1571405.7394824922</v>
      </c>
      <c r="AB34" s="384">
        <f t="shared" si="7"/>
        <v>1621639.2414250763</v>
      </c>
      <c r="AC34" s="384">
        <f t="shared" si="7"/>
        <v>1673478.569701378</v>
      </c>
      <c r="AD34" s="384">
        <f t="shared" si="7"/>
        <v>1726975.0581446816</v>
      </c>
      <c r="AE34" s="384">
        <f t="shared" si="7"/>
        <v>1782181.6815891617</v>
      </c>
      <c r="AF34" s="384">
        <f t="shared" si="7"/>
        <v>1839153.1083281466</v>
      </c>
      <c r="AG34" s="384">
        <f t="shared" si="7"/>
        <v>1897945.754249332</v>
      </c>
      <c r="AH34" s="384">
        <f t="shared" si="7"/>
        <v>1958617.8387005448</v>
      </c>
      <c r="AI34" s="384">
        <f t="shared" si="7"/>
        <v>2021229.4421413869</v>
      </c>
      <c r="AJ34" s="384">
        <f t="shared" si="7"/>
        <v>0</v>
      </c>
      <c r="AK34" s="384">
        <f t="shared" si="7"/>
        <v>0</v>
      </c>
      <c r="AL34" s="384">
        <f t="shared" si="7"/>
        <v>0</v>
      </c>
      <c r="AM34" s="384">
        <f t="shared" si="7"/>
        <v>0</v>
      </c>
      <c r="AN34" s="384">
        <f t="shared" si="7"/>
        <v>0</v>
      </c>
      <c r="AO34" s="384">
        <f t="shared" si="7"/>
        <v>0</v>
      </c>
      <c r="AP34" s="384">
        <f t="shared" si="7"/>
        <v>0</v>
      </c>
      <c r="AQ34" s="384">
        <f t="shared" si="7"/>
        <v>0</v>
      </c>
      <c r="AR34" s="384">
        <f t="shared" si="7"/>
        <v>0</v>
      </c>
      <c r="AS34" s="384">
        <f t="shared" si="7"/>
        <v>0</v>
      </c>
      <c r="AT34" s="384">
        <f t="shared" si="7"/>
        <v>0</v>
      </c>
    </row>
    <row r="35" spans="1:48" ht="14.15" customHeight="1" x14ac:dyDescent="0.35">
      <c r="F35" s="384"/>
      <c r="G35" s="384"/>
      <c r="H35" s="384"/>
      <c r="I35" s="384"/>
      <c r="J35" s="384"/>
      <c r="K35" s="384"/>
      <c r="L35" s="384"/>
      <c r="M35" s="384"/>
      <c r="N35" s="384"/>
      <c r="O35" s="384"/>
      <c r="P35" s="384"/>
      <c r="Q35" s="384"/>
      <c r="R35" s="384"/>
      <c r="S35" s="384"/>
      <c r="T35" s="384"/>
      <c r="U35" s="384"/>
      <c r="V35" s="384"/>
      <c r="W35" s="384"/>
      <c r="X35" s="384"/>
      <c r="Y35" s="384"/>
      <c r="Z35" s="384"/>
      <c r="AA35" s="384"/>
      <c r="AB35" s="384"/>
      <c r="AC35" s="384"/>
      <c r="AD35" s="384"/>
      <c r="AE35" s="384"/>
      <c r="AF35" s="384"/>
      <c r="AG35" s="384"/>
      <c r="AH35" s="384"/>
      <c r="AI35" s="384"/>
      <c r="AJ35" s="384"/>
      <c r="AK35" s="384"/>
      <c r="AL35" s="384"/>
      <c r="AM35" s="384"/>
      <c r="AN35" s="384"/>
      <c r="AO35" s="384"/>
      <c r="AP35" s="384"/>
      <c r="AQ35" s="384"/>
      <c r="AR35" s="384"/>
      <c r="AS35" s="384"/>
      <c r="AT35" s="384"/>
    </row>
    <row r="36" spans="1:48" x14ac:dyDescent="0.35">
      <c r="A36" s="371"/>
      <c r="B36" s="372" t="s">
        <v>129</v>
      </c>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c r="AH36" s="384"/>
      <c r="AI36" s="384"/>
      <c r="AJ36" s="384"/>
      <c r="AK36" s="384"/>
      <c r="AL36" s="384"/>
      <c r="AM36" s="384"/>
      <c r="AN36" s="384"/>
      <c r="AO36" s="384"/>
      <c r="AP36" s="384"/>
      <c r="AQ36" s="384"/>
      <c r="AR36" s="384"/>
      <c r="AS36" s="384"/>
      <c r="AT36" s="384"/>
    </row>
    <row r="37" spans="1:48" x14ac:dyDescent="0.35">
      <c r="B37" t="s">
        <v>439</v>
      </c>
      <c r="F37" s="391">
        <f>SUM(G37:AT37)</f>
        <v>-40752276.592549033</v>
      </c>
      <c r="G37" s="384">
        <f>G28*$H$9*$L$6</f>
        <v>0</v>
      </c>
      <c r="H37" s="384">
        <f t="shared" ref="H37:AT37" si="8">H28*$H$9*$L$6</f>
        <v>0</v>
      </c>
      <c r="I37" s="384">
        <f t="shared" si="8"/>
        <v>0</v>
      </c>
      <c r="J37" s="384">
        <f t="shared" si="8"/>
        <v>0</v>
      </c>
      <c r="K37" s="384">
        <f t="shared" si="8"/>
        <v>0</v>
      </c>
      <c r="L37" s="384">
        <f t="shared" si="8"/>
        <v>0</v>
      </c>
      <c r="M37" s="384">
        <f t="shared" si="8"/>
        <v>0</v>
      </c>
      <c r="N37" s="384">
        <f t="shared" si="8"/>
        <v>0</v>
      </c>
      <c r="O37" s="384">
        <f t="shared" si="8"/>
        <v>0</v>
      </c>
      <c r="P37" s="384">
        <f t="shared" si="8"/>
        <v>-252223.38839569342</v>
      </c>
      <c r="Q37" s="384">
        <f t="shared" si="8"/>
        <v>-504446.77679138654</v>
      </c>
      <c r="R37" s="384">
        <f t="shared" si="8"/>
        <v>-756670.16518707946</v>
      </c>
      <c r="S37" s="384">
        <f t="shared" si="8"/>
        <v>-1008893.553582773</v>
      </c>
      <c r="T37" s="384">
        <f t="shared" si="8"/>
        <v>-1261116.941978466</v>
      </c>
      <c r="U37" s="384">
        <f t="shared" si="8"/>
        <v>-1959196.9737798532</v>
      </c>
      <c r="V37" s="384">
        <f t="shared" si="8"/>
        <v>-2021827.0905698594</v>
      </c>
      <c r="W37" s="384">
        <f t="shared" si="8"/>
        <v>-2086459.3192361223</v>
      </c>
      <c r="X37" s="384">
        <f t="shared" si="8"/>
        <v>-2153157.6617663512</v>
      </c>
      <c r="Y37" s="384">
        <f t="shared" si="8"/>
        <v>-2221988.1661150563</v>
      </c>
      <c r="Z37" s="384">
        <f t="shared" si="8"/>
        <v>-2293018.9916074579</v>
      </c>
      <c r="AA37" s="384">
        <f t="shared" si="8"/>
        <v>-2366320.4764341763</v>
      </c>
      <c r="AB37" s="384">
        <f t="shared" si="8"/>
        <v>-2441965.207303544</v>
      </c>
      <c r="AC37" s="384">
        <f t="shared" si="8"/>
        <v>-2520028.0913205035</v>
      </c>
      <c r="AD37" s="384">
        <f t="shared" si="8"/>
        <v>-2600586.4301632796</v>
      </c>
      <c r="AE37" s="384">
        <f t="shared" si="8"/>
        <v>-2683719.9966312801</v>
      </c>
      <c r="AF37" s="384">
        <f t="shared" si="8"/>
        <v>-2769511.1136400071</v>
      </c>
      <c r="AG37" s="384">
        <f t="shared" si="8"/>
        <v>-2858044.7357412367</v>
      </c>
      <c r="AH37" s="384">
        <f t="shared" si="8"/>
        <v>-2949408.5332491477</v>
      </c>
      <c r="AI37" s="384">
        <f t="shared" si="8"/>
        <v>-3043692.9790557656</v>
      </c>
      <c r="AJ37" s="384">
        <f t="shared" si="8"/>
        <v>0</v>
      </c>
      <c r="AK37" s="384">
        <f t="shared" si="8"/>
        <v>0</v>
      </c>
      <c r="AL37" s="384">
        <f t="shared" si="8"/>
        <v>0</v>
      </c>
      <c r="AM37" s="384">
        <f t="shared" si="8"/>
        <v>0</v>
      </c>
      <c r="AN37" s="384">
        <f t="shared" si="8"/>
        <v>0</v>
      </c>
      <c r="AO37" s="384">
        <f t="shared" si="8"/>
        <v>0</v>
      </c>
      <c r="AP37" s="384">
        <f t="shared" si="8"/>
        <v>0</v>
      </c>
      <c r="AQ37" s="384">
        <f t="shared" si="8"/>
        <v>0</v>
      </c>
      <c r="AR37" s="384">
        <f t="shared" si="8"/>
        <v>0</v>
      </c>
      <c r="AS37" s="384">
        <f t="shared" si="8"/>
        <v>0</v>
      </c>
      <c r="AT37" s="384">
        <f t="shared" si="8"/>
        <v>0</v>
      </c>
    </row>
    <row r="38" spans="1:48" x14ac:dyDescent="0.35">
      <c r="F38" s="384"/>
    </row>
    <row r="39" spans="1:48" s="8" customFormat="1" x14ac:dyDescent="0.35">
      <c r="B39" s="371" t="s">
        <v>440</v>
      </c>
      <c r="F39" s="392">
        <f>SUM(G39:AT39)</f>
        <v>361789151.93909526</v>
      </c>
      <c r="G39" s="385">
        <f>G32+G33+G34+G37</f>
        <v>0</v>
      </c>
      <c r="H39" s="385">
        <f t="shared" ref="H39:AT39" si="9">H32+H33+H34+H37</f>
        <v>0</v>
      </c>
      <c r="I39" s="385">
        <f t="shared" si="9"/>
        <v>0</v>
      </c>
      <c r="J39" s="385">
        <f t="shared" si="9"/>
        <v>0</v>
      </c>
      <c r="K39" s="385">
        <f t="shared" si="9"/>
        <v>0</v>
      </c>
      <c r="L39" s="385">
        <f t="shared" si="9"/>
        <v>0</v>
      </c>
      <c r="M39" s="385">
        <f t="shared" si="9"/>
        <v>0</v>
      </c>
      <c r="N39" s="385">
        <f t="shared" si="9"/>
        <v>0</v>
      </c>
      <c r="O39" s="385">
        <f t="shared" si="9"/>
        <v>0</v>
      </c>
      <c r="P39" s="385">
        <f t="shared" si="9"/>
        <v>2239180.0757351248</v>
      </c>
      <c r="Q39" s="385">
        <f t="shared" si="9"/>
        <v>4478360.1514702588</v>
      </c>
      <c r="R39" s="385">
        <f t="shared" si="9"/>
        <v>6717540.2272053845</v>
      </c>
      <c r="S39" s="385">
        <f t="shared" si="9"/>
        <v>8956720.3029405102</v>
      </c>
      <c r="T39" s="385">
        <f t="shared" si="9"/>
        <v>11195900.378675645</v>
      </c>
      <c r="U39" s="385">
        <f t="shared" si="9"/>
        <v>17393291.145728339</v>
      </c>
      <c r="V39" s="385">
        <f t="shared" si="9"/>
        <v>17949306.630847156</v>
      </c>
      <c r="W39" s="385">
        <f t="shared" si="9"/>
        <v>18523096.395548962</v>
      </c>
      <c r="X39" s="385">
        <f t="shared" si="9"/>
        <v>19115228.634467017</v>
      </c>
      <c r="Y39" s="385">
        <f t="shared" si="9"/>
        <v>19726289.70584802</v>
      </c>
      <c r="Z39" s="385">
        <f t="shared" si="9"/>
        <v>20356884.712192487</v>
      </c>
      <c r="AA39" s="385">
        <f t="shared" si="9"/>
        <v>21007638.09945685</v>
      </c>
      <c r="AB39" s="385">
        <f t="shared" si="9"/>
        <v>21679194.275410298</v>
      </c>
      <c r="AC39" s="385">
        <f t="shared" si="9"/>
        <v>22372218.247758858</v>
      </c>
      <c r="AD39" s="385">
        <f t="shared" si="9"/>
        <v>23087396.282668427</v>
      </c>
      <c r="AE39" s="385">
        <f t="shared" si="9"/>
        <v>23825436.584339064</v>
      </c>
      <c r="AF39" s="385">
        <f t="shared" si="9"/>
        <v>24587069.996303357</v>
      </c>
      <c r="AG39" s="385">
        <f t="shared" si="9"/>
        <v>25373050.725143325</v>
      </c>
      <c r="AH39" s="385">
        <f t="shared" si="9"/>
        <v>26184157.087342631</v>
      </c>
      <c r="AI39" s="385">
        <f t="shared" si="9"/>
        <v>27021192.280013554</v>
      </c>
      <c r="AJ39" s="385">
        <f t="shared" si="9"/>
        <v>0</v>
      </c>
      <c r="AK39" s="385">
        <f t="shared" si="9"/>
        <v>0</v>
      </c>
      <c r="AL39" s="385">
        <f t="shared" si="9"/>
        <v>0</v>
      </c>
      <c r="AM39" s="385">
        <f t="shared" si="9"/>
        <v>0</v>
      </c>
      <c r="AN39" s="385">
        <f t="shared" si="9"/>
        <v>0</v>
      </c>
      <c r="AO39" s="385">
        <f t="shared" si="9"/>
        <v>0</v>
      </c>
      <c r="AP39" s="385">
        <f t="shared" si="9"/>
        <v>0</v>
      </c>
      <c r="AQ39" s="385">
        <f t="shared" si="9"/>
        <v>0</v>
      </c>
      <c r="AR39" s="385">
        <f t="shared" si="9"/>
        <v>0</v>
      </c>
      <c r="AS39" s="385">
        <f t="shared" si="9"/>
        <v>0</v>
      </c>
      <c r="AT39" s="385">
        <f t="shared" si="9"/>
        <v>0</v>
      </c>
    </row>
    <row r="41" spans="1:48" ht="2.9" customHeight="1" thickBot="1" x14ac:dyDescent="0.4">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row>
    <row r="42" spans="1:48" x14ac:dyDescent="0.35">
      <c r="G42">
        <f>Safety!G96</f>
        <v>0</v>
      </c>
    </row>
  </sheetData>
  <mergeCells count="5">
    <mergeCell ref="A3:B3"/>
    <mergeCell ref="A15:B15"/>
    <mergeCell ref="A16:B16"/>
    <mergeCell ref="A17:B17"/>
    <mergeCell ref="A18:B18"/>
  </mergeCell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762E6-33BF-4C8C-B15D-0E9E61704A2E}">
  <sheetPr codeName="Sheet12">
    <tabColor theme="9" tint="-0.499984740745262"/>
  </sheetPr>
  <dimension ref="A1:AV98"/>
  <sheetViews>
    <sheetView workbookViewId="0">
      <selection activeCell="G10" sqref="G10:G12"/>
    </sheetView>
  </sheetViews>
  <sheetFormatPr defaultRowHeight="14.5" x14ac:dyDescent="0.35"/>
  <cols>
    <col min="1" max="1" width="0.54296875" customWidth="1"/>
    <col min="2" max="2" width="36.54296875" customWidth="1"/>
    <col min="3" max="3" width="37.54296875" customWidth="1"/>
    <col min="4" max="4" width="15.54296875" customWidth="1"/>
    <col min="5" max="5" width="11.453125" customWidth="1"/>
    <col min="6" max="6" width="21" customWidth="1"/>
    <col min="7" max="7" width="31.54296875" customWidth="1"/>
    <col min="8" max="8" width="18.81640625" bestFit="1" customWidth="1"/>
    <col min="9" max="9" width="17.81640625" customWidth="1"/>
    <col min="10" max="10" width="14.54296875" customWidth="1"/>
    <col min="11" max="11" width="30.54296875" customWidth="1"/>
    <col min="12" max="17" width="14.54296875" customWidth="1"/>
    <col min="18" max="33" width="15" customWidth="1"/>
    <col min="34" max="34" width="17.453125" customWidth="1"/>
    <col min="35" max="46" width="17.54296875" customWidth="1"/>
  </cols>
  <sheetData>
    <row r="1" spans="1:46" x14ac:dyDescent="0.35">
      <c r="A1" s="1"/>
      <c r="B1" s="9" t="s">
        <v>441</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6" x14ac:dyDescent="0.35">
      <c r="A2" s="1"/>
      <c r="B2" s="1" t="s">
        <v>442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row>
    <row r="3" spans="1:46" x14ac:dyDescent="0.35">
      <c r="A3" s="793"/>
      <c r="B3" s="793"/>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row>
    <row r="4" spans="1:46" x14ac:dyDescent="0.35">
      <c r="A4" s="1"/>
      <c r="B4" s="2" t="s">
        <v>35</v>
      </c>
      <c r="C4" s="2" t="s">
        <v>36</v>
      </c>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row>
    <row r="5" spans="1:46" x14ac:dyDescent="0.35">
      <c r="A5" s="1"/>
      <c r="B5" s="1" t="s">
        <v>37</v>
      </c>
      <c r="C5" s="1">
        <f>Inputs!D8</f>
        <v>2024</v>
      </c>
      <c r="D5" s="1"/>
      <c r="E5" s="1"/>
      <c r="F5" s="1"/>
      <c r="G5" s="2" t="s">
        <v>35</v>
      </c>
      <c r="H5" s="2" t="s">
        <v>36</v>
      </c>
      <c r="I5" s="2" t="s">
        <v>430</v>
      </c>
      <c r="J5" s="1"/>
      <c r="K5" s="2" t="s">
        <v>35</v>
      </c>
      <c r="L5" s="2" t="s">
        <v>36</v>
      </c>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row>
    <row r="6" spans="1:46" x14ac:dyDescent="0.35">
      <c r="A6" s="1"/>
      <c r="B6" s="1" t="s">
        <v>38</v>
      </c>
      <c r="C6" s="1">
        <f>Inputs!D11</f>
        <v>2033</v>
      </c>
      <c r="D6" s="1"/>
      <c r="E6" s="1"/>
      <c r="F6" s="1"/>
      <c r="G6" s="57" t="s">
        <v>443</v>
      </c>
      <c r="H6" s="689">
        <f>Inputs!D92</f>
        <v>969</v>
      </c>
      <c r="I6" s="373" t="str">
        <f>Inputs!C92</f>
        <v>fatalities</v>
      </c>
      <c r="J6" s="1"/>
      <c r="K6" s="167" t="s">
        <v>429</v>
      </c>
      <c r="L6" s="1">
        <v>-1</v>
      </c>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row>
    <row r="7" spans="1:46" ht="15" thickBot="1" x14ac:dyDescent="0.4">
      <c r="A7" s="1"/>
      <c r="B7" s="1" t="s">
        <v>39</v>
      </c>
      <c r="C7" s="1">
        <f>Inputs!D13</f>
        <v>2052</v>
      </c>
      <c r="D7" s="1"/>
      <c r="E7" s="1"/>
      <c r="F7" s="1"/>
      <c r="G7" s="57" t="str">
        <f>Inputs!B96</f>
        <v>Number of Serious Injuries - 2024</v>
      </c>
      <c r="H7" s="689">
        <f>Inputs!D96</f>
        <v>4655</v>
      </c>
      <c r="I7" s="373" t="str">
        <f>Inputs!C96</f>
        <v>serious injuries</v>
      </c>
      <c r="J7" s="3"/>
      <c r="K7" s="4"/>
      <c r="L7" s="4"/>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row>
    <row r="8" spans="1:46" x14ac:dyDescent="0.35">
      <c r="A8" s="1"/>
      <c r="B8" s="1" t="s">
        <v>40</v>
      </c>
      <c r="C8" s="1">
        <f>Inputs!D14</f>
        <v>20</v>
      </c>
      <c r="D8" s="1"/>
      <c r="E8" s="1"/>
      <c r="F8" s="1"/>
      <c r="G8" s="57" t="str">
        <f>Inputs!B94</f>
        <v>Fatalities involving Trains - 2024</v>
      </c>
      <c r="H8" s="373">
        <f>Inputs!D94</f>
        <v>9</v>
      </c>
      <c r="I8" s="373" t="str">
        <f>Inputs!C94</f>
        <v>fatalities</v>
      </c>
      <c r="J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row>
    <row r="9" spans="1:46" x14ac:dyDescent="0.35">
      <c r="A9" s="1"/>
      <c r="B9" s="1" t="s">
        <v>41</v>
      </c>
      <c r="C9" s="10">
        <f>Inputs!D15</f>
        <v>7.0000000000000007E-2</v>
      </c>
      <c r="D9" s="1"/>
      <c r="E9" s="1"/>
      <c r="F9" s="1"/>
      <c r="G9" s="57" t="str">
        <f>Inputs!B95</f>
        <v>Injuries involving Trains - 2024</v>
      </c>
      <c r="H9" s="373">
        <f>Inputs!D95</f>
        <v>30</v>
      </c>
      <c r="I9" s="373" t="str">
        <f>Inputs!C97</f>
        <v>injuries</v>
      </c>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row>
    <row r="10" spans="1:46" x14ac:dyDescent="0.35">
      <c r="A10" s="1"/>
      <c r="D10" s="1"/>
      <c r="E10" s="1"/>
      <c r="F10" s="1"/>
      <c r="G10" s="373" t="str">
        <f>Inputs!$B$102</f>
        <v>K - Killed</v>
      </c>
      <c r="H10" s="174">
        <f>Inputs!D102</f>
        <v>13700000</v>
      </c>
      <c r="I10" s="373" t="str">
        <f>Inputs!C102</f>
        <v>2024 $/ fatality</v>
      </c>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row>
    <row r="11" spans="1:46" ht="20.5" customHeight="1" thickBot="1" x14ac:dyDescent="0.4">
      <c r="A11" s="4"/>
      <c r="D11" s="1"/>
      <c r="E11" s="1"/>
      <c r="F11" s="1"/>
      <c r="G11" s="373" t="str">
        <f>Inputs!$B$103</f>
        <v>A - Incapacitating</v>
      </c>
      <c r="H11" s="174">
        <f>Inputs!D103</f>
        <v>1302300</v>
      </c>
      <c r="I11" s="373" t="str">
        <f>Inputs!C103</f>
        <v>2024 $/ injury</v>
      </c>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row>
    <row r="12" spans="1:46" ht="12" customHeight="1" x14ac:dyDescent="0.35">
      <c r="A12" s="28"/>
      <c r="D12" s="1"/>
      <c r="E12" s="1"/>
      <c r="F12" s="1"/>
      <c r="G12" s="28" t="str">
        <f>Inputs!$B$104</f>
        <v>U - Injured (Severity Unknown)</v>
      </c>
      <c r="H12" s="174">
        <f>Inputs!D104</f>
        <v>238500</v>
      </c>
      <c r="I12" s="373" t="str">
        <f>Inputs!C104</f>
        <v>2024 $/ injury</v>
      </c>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row>
    <row r="13" spans="1:46" ht="12" customHeight="1" x14ac:dyDescent="0.35">
      <c r="A13" s="28"/>
      <c r="B13" s="28"/>
      <c r="C13" s="28"/>
      <c r="D13" s="1"/>
      <c r="E13" s="1"/>
      <c r="F13" s="1"/>
      <c r="G13" s="57" t="str">
        <f>Inputs!B98</f>
        <v>Alabama Fatality Rate per 100 Million VMT - 4 Yr Average</v>
      </c>
      <c r="H13" s="686">
        <f>Inputs!D98</f>
        <v>1.3660000000000001</v>
      </c>
      <c r="I13" t="str">
        <f>Inputs!C98</f>
        <v>fatality per 100M vehicle-mile</v>
      </c>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row>
    <row r="14" spans="1:46" ht="12" customHeight="1" thickBot="1" x14ac:dyDescent="0.4">
      <c r="A14" s="28"/>
      <c r="B14" s="4"/>
      <c r="C14" s="4"/>
      <c r="D14" s="1"/>
      <c r="E14" s="1"/>
      <c r="F14" s="1"/>
      <c r="G14" s="4"/>
      <c r="H14" s="4"/>
      <c r="I14" s="4"/>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row>
    <row r="15" spans="1:46" x14ac:dyDescent="0.35">
      <c r="A15" s="793"/>
      <c r="B15" s="793"/>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row>
    <row r="16" spans="1:46" x14ac:dyDescent="0.35">
      <c r="A16" s="794" t="s">
        <v>42</v>
      </c>
      <c r="B16" s="794"/>
      <c r="C16" s="2"/>
      <c r="D16" s="2"/>
      <c r="E16" s="2"/>
      <c r="F16" s="2"/>
      <c r="G16" s="2">
        <f>C5</f>
        <v>2024</v>
      </c>
      <c r="H16" s="2">
        <f>G16+1</f>
        <v>2025</v>
      </c>
      <c r="I16" s="2">
        <f t="shared" ref="I16:AT16" si="0">H16+1</f>
        <v>2026</v>
      </c>
      <c r="J16" s="2">
        <f t="shared" si="0"/>
        <v>2027</v>
      </c>
      <c r="K16" s="2">
        <f t="shared" si="0"/>
        <v>2028</v>
      </c>
      <c r="L16" s="2">
        <f t="shared" si="0"/>
        <v>2029</v>
      </c>
      <c r="M16" s="2">
        <f t="shared" si="0"/>
        <v>2030</v>
      </c>
      <c r="N16" s="2">
        <f t="shared" si="0"/>
        <v>2031</v>
      </c>
      <c r="O16" s="2">
        <f t="shared" si="0"/>
        <v>2032</v>
      </c>
      <c r="P16" s="2">
        <f t="shared" si="0"/>
        <v>2033</v>
      </c>
      <c r="Q16" s="2">
        <f t="shared" si="0"/>
        <v>2034</v>
      </c>
      <c r="R16" s="2">
        <f t="shared" si="0"/>
        <v>2035</v>
      </c>
      <c r="S16" s="2">
        <f t="shared" si="0"/>
        <v>2036</v>
      </c>
      <c r="T16" s="2">
        <f t="shared" si="0"/>
        <v>2037</v>
      </c>
      <c r="U16" s="2">
        <f t="shared" si="0"/>
        <v>2038</v>
      </c>
      <c r="V16" s="2">
        <f t="shared" si="0"/>
        <v>2039</v>
      </c>
      <c r="W16" s="2">
        <f t="shared" si="0"/>
        <v>2040</v>
      </c>
      <c r="X16" s="2">
        <f t="shared" si="0"/>
        <v>2041</v>
      </c>
      <c r="Y16" s="2">
        <f t="shared" si="0"/>
        <v>2042</v>
      </c>
      <c r="Z16" s="2">
        <f t="shared" si="0"/>
        <v>2043</v>
      </c>
      <c r="AA16" s="2">
        <f t="shared" si="0"/>
        <v>2044</v>
      </c>
      <c r="AB16" s="2">
        <f t="shared" si="0"/>
        <v>2045</v>
      </c>
      <c r="AC16" s="2">
        <f t="shared" si="0"/>
        <v>2046</v>
      </c>
      <c r="AD16" s="2">
        <f t="shared" si="0"/>
        <v>2047</v>
      </c>
      <c r="AE16" s="2">
        <f t="shared" si="0"/>
        <v>2048</v>
      </c>
      <c r="AF16" s="2">
        <f t="shared" si="0"/>
        <v>2049</v>
      </c>
      <c r="AG16" s="2">
        <f t="shared" si="0"/>
        <v>2050</v>
      </c>
      <c r="AH16" s="2">
        <f t="shared" si="0"/>
        <v>2051</v>
      </c>
      <c r="AI16" s="2">
        <f t="shared" si="0"/>
        <v>2052</v>
      </c>
      <c r="AJ16" s="2">
        <f t="shared" si="0"/>
        <v>2053</v>
      </c>
      <c r="AK16" s="2">
        <f t="shared" si="0"/>
        <v>2054</v>
      </c>
      <c r="AL16" s="2">
        <f t="shared" si="0"/>
        <v>2055</v>
      </c>
      <c r="AM16" s="2">
        <f t="shared" si="0"/>
        <v>2056</v>
      </c>
      <c r="AN16" s="2">
        <f t="shared" si="0"/>
        <v>2057</v>
      </c>
      <c r="AO16" s="2">
        <f t="shared" si="0"/>
        <v>2058</v>
      </c>
      <c r="AP16" s="2">
        <f t="shared" si="0"/>
        <v>2059</v>
      </c>
      <c r="AQ16" s="2">
        <f t="shared" si="0"/>
        <v>2060</v>
      </c>
      <c r="AR16" s="2">
        <f t="shared" si="0"/>
        <v>2061</v>
      </c>
      <c r="AS16" s="2">
        <f t="shared" si="0"/>
        <v>2062</v>
      </c>
      <c r="AT16" s="2">
        <f t="shared" si="0"/>
        <v>2063</v>
      </c>
    </row>
    <row r="17" spans="1:46" x14ac:dyDescent="0.35">
      <c r="A17" s="794" t="s">
        <v>286</v>
      </c>
      <c r="B17" s="794"/>
      <c r="C17" s="1"/>
      <c r="D17" s="1"/>
      <c r="E17" s="1"/>
      <c r="F17" s="1"/>
      <c r="G17" s="11">
        <f t="shared" ref="G17:AT17" si="1">IF(G16="","",1/((1+$C$9)^(G16-$C$5)))</f>
        <v>1</v>
      </c>
      <c r="H17" s="11">
        <f t="shared" si="1"/>
        <v>0.93457943925233644</v>
      </c>
      <c r="I17" s="11">
        <f t="shared" si="1"/>
        <v>0.87343872827321156</v>
      </c>
      <c r="J17" s="11">
        <f t="shared" si="1"/>
        <v>0.81629787689085187</v>
      </c>
      <c r="K17" s="11">
        <f t="shared" si="1"/>
        <v>0.7628952120475252</v>
      </c>
      <c r="L17" s="11">
        <f t="shared" si="1"/>
        <v>0.71298617948366838</v>
      </c>
      <c r="M17" s="11">
        <f t="shared" si="1"/>
        <v>0.66634222381651254</v>
      </c>
      <c r="N17" s="11">
        <f t="shared" si="1"/>
        <v>0.62274974188459109</v>
      </c>
      <c r="O17" s="11">
        <f t="shared" si="1"/>
        <v>0.5820091045650384</v>
      </c>
      <c r="P17" s="11">
        <f t="shared" si="1"/>
        <v>0.54393374258414806</v>
      </c>
      <c r="Q17" s="11">
        <f t="shared" si="1"/>
        <v>0.5083492921347178</v>
      </c>
      <c r="R17" s="11">
        <f t="shared" si="1"/>
        <v>0.47509279638758667</v>
      </c>
      <c r="S17" s="11">
        <f t="shared" si="1"/>
        <v>0.44401195924073528</v>
      </c>
      <c r="T17" s="11">
        <f t="shared" si="1"/>
        <v>0.41496444788853759</v>
      </c>
      <c r="U17" s="11">
        <f t="shared" si="1"/>
        <v>0.3878172410173249</v>
      </c>
      <c r="V17" s="11">
        <f t="shared" si="1"/>
        <v>0.36244601964235967</v>
      </c>
      <c r="W17" s="11">
        <f t="shared" si="1"/>
        <v>0.33873459779659787</v>
      </c>
      <c r="X17" s="11">
        <f t="shared" si="1"/>
        <v>0.31657439046411018</v>
      </c>
      <c r="Y17" s="11">
        <f t="shared" si="1"/>
        <v>0.29586391632159825</v>
      </c>
      <c r="Z17" s="11">
        <f t="shared" si="1"/>
        <v>0.27650833301083949</v>
      </c>
      <c r="AA17" s="11">
        <f t="shared" si="1"/>
        <v>0.2584190028138687</v>
      </c>
      <c r="AB17" s="11">
        <f t="shared" si="1"/>
        <v>0.24151308674193336</v>
      </c>
      <c r="AC17" s="11">
        <f t="shared" si="1"/>
        <v>0.22571316517937698</v>
      </c>
      <c r="AD17" s="11">
        <f t="shared" si="1"/>
        <v>0.21094688334521211</v>
      </c>
      <c r="AE17" s="11">
        <f t="shared" si="1"/>
        <v>0.19714661994879637</v>
      </c>
      <c r="AF17" s="11">
        <f t="shared" si="1"/>
        <v>0.18424917752223957</v>
      </c>
      <c r="AG17" s="11">
        <f t="shared" si="1"/>
        <v>0.17219549301143888</v>
      </c>
      <c r="AH17" s="11">
        <f t="shared" si="1"/>
        <v>0.16093036730041013</v>
      </c>
      <c r="AI17" s="11">
        <f t="shared" si="1"/>
        <v>0.15040221243028987</v>
      </c>
      <c r="AJ17" s="11">
        <f t="shared" si="1"/>
        <v>0.1405628153554111</v>
      </c>
      <c r="AK17" s="11">
        <f t="shared" si="1"/>
        <v>0.13136711715458982</v>
      </c>
      <c r="AL17" s="11">
        <f t="shared" si="1"/>
        <v>0.1227730066865325</v>
      </c>
      <c r="AM17" s="11">
        <f t="shared" si="1"/>
        <v>0.11474112774442291</v>
      </c>
      <c r="AN17" s="11">
        <f t="shared" si="1"/>
        <v>0.10723469882656347</v>
      </c>
      <c r="AO17" s="11">
        <f t="shared" si="1"/>
        <v>0.10021934469772288</v>
      </c>
      <c r="AP17" s="11">
        <f t="shared" si="1"/>
        <v>9.366293896983445E-2</v>
      </c>
      <c r="AQ17" s="11">
        <f t="shared" si="1"/>
        <v>8.7535456981153698E-2</v>
      </c>
      <c r="AR17" s="11">
        <f t="shared" si="1"/>
        <v>8.1808838300143641E-2</v>
      </c>
      <c r="AS17" s="11">
        <f t="shared" si="1"/>
        <v>7.6456858224433308E-2</v>
      </c>
      <c r="AT17" s="11">
        <f t="shared" si="1"/>
        <v>7.1455007686386268E-2</v>
      </c>
    </row>
    <row r="18" spans="1:46" x14ac:dyDescent="0.35">
      <c r="A18" s="794" t="s">
        <v>44</v>
      </c>
      <c r="B18" s="794"/>
      <c r="G18" s="82">
        <f>IF(AND(G12&gt;=$C$6,G12&lt;=$C$7),1,0)</f>
        <v>0</v>
      </c>
      <c r="H18" s="83">
        <f t="shared" ref="H18:AT18" si="2">IF(AND(H16&gt;=$C$6,H16&lt;=$C$7),1,0)</f>
        <v>0</v>
      </c>
      <c r="I18" s="83">
        <f t="shared" si="2"/>
        <v>0</v>
      </c>
      <c r="J18" s="83">
        <f t="shared" si="2"/>
        <v>0</v>
      </c>
      <c r="K18" s="83">
        <f t="shared" si="2"/>
        <v>0</v>
      </c>
      <c r="L18" s="83">
        <f t="shared" si="2"/>
        <v>0</v>
      </c>
      <c r="M18" s="83">
        <f t="shared" si="2"/>
        <v>0</v>
      </c>
      <c r="N18">
        <f t="shared" si="2"/>
        <v>0</v>
      </c>
      <c r="O18">
        <f t="shared" si="2"/>
        <v>0</v>
      </c>
      <c r="P18">
        <f t="shared" si="2"/>
        <v>1</v>
      </c>
      <c r="Q18">
        <f t="shared" si="2"/>
        <v>1</v>
      </c>
      <c r="R18">
        <f t="shared" si="2"/>
        <v>1</v>
      </c>
      <c r="S18">
        <f t="shared" si="2"/>
        <v>1</v>
      </c>
      <c r="T18">
        <f t="shared" si="2"/>
        <v>1</v>
      </c>
      <c r="U18">
        <f t="shared" si="2"/>
        <v>1</v>
      </c>
      <c r="V18">
        <f t="shared" si="2"/>
        <v>1</v>
      </c>
      <c r="W18">
        <f t="shared" si="2"/>
        <v>1</v>
      </c>
      <c r="X18">
        <f t="shared" si="2"/>
        <v>1</v>
      </c>
      <c r="Y18">
        <f t="shared" si="2"/>
        <v>1</v>
      </c>
      <c r="Z18">
        <f t="shared" si="2"/>
        <v>1</v>
      </c>
      <c r="AA18">
        <f t="shared" si="2"/>
        <v>1</v>
      </c>
      <c r="AB18">
        <f t="shared" si="2"/>
        <v>1</v>
      </c>
      <c r="AC18">
        <f t="shared" si="2"/>
        <v>1</v>
      </c>
      <c r="AD18">
        <f t="shared" si="2"/>
        <v>1</v>
      </c>
      <c r="AE18">
        <f t="shared" si="2"/>
        <v>1</v>
      </c>
      <c r="AF18">
        <f t="shared" si="2"/>
        <v>1</v>
      </c>
      <c r="AG18">
        <f t="shared" si="2"/>
        <v>1</v>
      </c>
      <c r="AH18">
        <f t="shared" si="2"/>
        <v>1</v>
      </c>
      <c r="AI18">
        <f t="shared" si="2"/>
        <v>1</v>
      </c>
      <c r="AJ18">
        <f t="shared" si="2"/>
        <v>0</v>
      </c>
      <c r="AK18">
        <f t="shared" si="2"/>
        <v>0</v>
      </c>
      <c r="AL18">
        <f t="shared" si="2"/>
        <v>0</v>
      </c>
      <c r="AM18">
        <f t="shared" si="2"/>
        <v>0</v>
      </c>
      <c r="AN18">
        <f t="shared" si="2"/>
        <v>0</v>
      </c>
      <c r="AO18">
        <f t="shared" si="2"/>
        <v>0</v>
      </c>
      <c r="AP18">
        <f t="shared" si="2"/>
        <v>0</v>
      </c>
      <c r="AQ18">
        <f t="shared" si="2"/>
        <v>0</v>
      </c>
      <c r="AR18">
        <f t="shared" si="2"/>
        <v>0</v>
      </c>
      <c r="AS18">
        <f t="shared" si="2"/>
        <v>0</v>
      </c>
      <c r="AT18">
        <f t="shared" si="2"/>
        <v>0</v>
      </c>
    </row>
    <row r="19" spans="1:46" ht="4.4000000000000004" customHeight="1" thickBot="1" x14ac:dyDescent="0.4">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row>
    <row r="20" spans="1:46" x14ac:dyDescent="0.35">
      <c r="A20" s="371" t="s">
        <v>429</v>
      </c>
      <c r="B20" s="372"/>
    </row>
    <row r="21" spans="1:46" s="374" customFormat="1" x14ac:dyDescent="0.35"/>
    <row r="22" spans="1:46" ht="12" customHeight="1" x14ac:dyDescent="0.35">
      <c r="A22" s="8" t="s">
        <v>178</v>
      </c>
      <c r="D22" t="s">
        <v>418</v>
      </c>
      <c r="F22" s="373" t="s">
        <v>46</v>
      </c>
    </row>
    <row r="23" spans="1:46" x14ac:dyDescent="0.35">
      <c r="B23" s="8" t="s">
        <v>419</v>
      </c>
      <c r="C23" s="34"/>
      <c r="D23" s="64">
        <f>Inputs!$D$22</f>
        <v>3.1967238428903366E-2</v>
      </c>
      <c r="F23" s="165">
        <f>'Traffic Calcs'!F55</f>
        <v>-196960852.69814545</v>
      </c>
      <c r="G23" s="165">
        <f>'Traffic Calcs'!G55</f>
        <v>0</v>
      </c>
      <c r="H23" s="165">
        <f>'Traffic Calcs'!H55</f>
        <v>0</v>
      </c>
      <c r="I23" s="165">
        <f>'Traffic Calcs'!I55</f>
        <v>0</v>
      </c>
      <c r="J23" s="165">
        <f>'Traffic Calcs'!J55</f>
        <v>0</v>
      </c>
      <c r="K23" s="165">
        <f>'Traffic Calcs'!K55</f>
        <v>0</v>
      </c>
      <c r="L23" s="165">
        <f>'Traffic Calcs'!L55</f>
        <v>0</v>
      </c>
      <c r="M23" s="165">
        <f>'Traffic Calcs'!M55</f>
        <v>0</v>
      </c>
      <c r="N23" s="165">
        <f>'Traffic Calcs'!N55</f>
        <v>0</v>
      </c>
      <c r="O23" s="165">
        <f>'Traffic Calcs'!O55</f>
        <v>0</v>
      </c>
      <c r="P23" s="165">
        <f>'Traffic Calcs'!P55</f>
        <v>-1219027.2005052641</v>
      </c>
      <c r="Q23" s="165">
        <f>'Traffic Calcs'!Q55</f>
        <v>-2438054.4010105282</v>
      </c>
      <c r="R23" s="165">
        <f>'Traffic Calcs'!R55</f>
        <v>-3657081.6015157923</v>
      </c>
      <c r="S23" s="165">
        <f>'Traffic Calcs'!S55</f>
        <v>-4876108.8020210564</v>
      </c>
      <c r="T23" s="165">
        <f>'Traffic Calcs'!T55</f>
        <v>-6095136.0025263205</v>
      </c>
      <c r="U23" s="165">
        <f>'Traffic Calcs'!U55</f>
        <v>-9469044.1571516916</v>
      </c>
      <c r="V23" s="165">
        <f>'Traffic Calcs'!V55</f>
        <v>-9771743.3494171724</v>
      </c>
      <c r="W23" s="165">
        <f>'Traffic Calcs'!W55</f>
        <v>-10084118.998934045</v>
      </c>
      <c r="X23" s="165">
        <f>'Traffic Calcs'!X55</f>
        <v>-10406480.435318395</v>
      </c>
      <c r="Y23" s="165">
        <f>'Traffic Calcs'!Y55</f>
        <v>-10739146.876599938</v>
      </c>
      <c r="Z23" s="165">
        <f>'Traffic Calcs'!Z55</f>
        <v>-11082447.745327219</v>
      </c>
      <c r="AA23" s="165">
        <f>'Traffic Calcs'!AA55</f>
        <v>-11436722.994777963</v>
      </c>
      <c r="AB23" s="165">
        <f>'Traffic Calcs'!AB55</f>
        <v>-11802323.445597351</v>
      </c>
      <c r="AC23" s="165">
        <f>'Traffic Calcs'!AC55</f>
        <v>-12179611.133197799</v>
      </c>
      <c r="AD23" s="165">
        <f>'Traffic Calcs'!AD55</f>
        <v>-12568959.666264057</v>
      </c>
      <c r="AE23" s="165">
        <f>'Traffic Calcs'!AE55</f>
        <v>-12970754.596718788</v>
      </c>
      <c r="AF23" s="165">
        <f>'Traffic Calcs'!AF55</f>
        <v>-13385393.801514894</v>
      </c>
      <c r="AG23" s="165">
        <f>'Traffic Calcs'!AG55</f>
        <v>-13813287.87663269</v>
      </c>
      <c r="AH23" s="165">
        <f>'Traffic Calcs'!AH55</f>
        <v>-14254860.543672085</v>
      </c>
      <c r="AI23" s="165">
        <f>'Traffic Calcs'!AI55</f>
        <v>-14710549.069442406</v>
      </c>
      <c r="AJ23" s="165">
        <f>'Traffic Calcs'!AJ55</f>
        <v>0</v>
      </c>
      <c r="AK23" s="165">
        <f>'Traffic Calcs'!AK55</f>
        <v>0</v>
      </c>
      <c r="AL23" s="165">
        <f>'Traffic Calcs'!AL55</f>
        <v>0</v>
      </c>
      <c r="AM23" s="165">
        <f>'Traffic Calcs'!AM55</f>
        <v>0</v>
      </c>
      <c r="AN23" s="165">
        <f>'Traffic Calcs'!AN55</f>
        <v>0</v>
      </c>
      <c r="AO23" s="165">
        <f>'Traffic Calcs'!AO55</f>
        <v>0</v>
      </c>
      <c r="AP23" s="165">
        <f>'Traffic Calcs'!AP55</f>
        <v>0</v>
      </c>
      <c r="AQ23" s="165">
        <f>'Traffic Calcs'!AQ55</f>
        <v>0</v>
      </c>
      <c r="AR23" s="165">
        <f>'Traffic Calcs'!AR55</f>
        <v>0</v>
      </c>
      <c r="AS23" s="165">
        <f>'Traffic Calcs'!AS55</f>
        <v>0</v>
      </c>
      <c r="AT23" s="165">
        <f>'Traffic Calcs'!AT55</f>
        <v>0</v>
      </c>
    </row>
    <row r="24" spans="1:46" x14ac:dyDescent="0.35">
      <c r="B24" s="8"/>
      <c r="C24" s="34"/>
      <c r="D24" s="64"/>
      <c r="F24" s="165"/>
      <c r="G24" s="165"/>
      <c r="H24" s="165"/>
      <c r="I24" s="165"/>
      <c r="J24" s="165"/>
      <c r="K24" s="165"/>
      <c r="L24" s="165"/>
      <c r="M24" s="165"/>
      <c r="N24" s="165"/>
      <c r="O24" s="165"/>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row>
    <row r="25" spans="1:46" x14ac:dyDescent="0.35">
      <c r="A25" s="8" t="s">
        <v>129</v>
      </c>
      <c r="B25" s="8"/>
      <c r="C25" s="34"/>
      <c r="D25" s="64"/>
      <c r="F25" s="165" t="str">
        <f>'Traffic Calcs'!F58</f>
        <v>Total</v>
      </c>
      <c r="G25" s="165"/>
      <c r="H25" s="165"/>
      <c r="I25" s="165"/>
      <c r="J25" s="165"/>
      <c r="K25" s="165"/>
      <c r="L25" s="165"/>
      <c r="M25" s="165"/>
      <c r="N25" s="165"/>
      <c r="O25" s="165"/>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c r="AS25" s="165"/>
      <c r="AT25" s="165"/>
    </row>
    <row r="26" spans="1:46" x14ac:dyDescent="0.35">
      <c r="B26" s="8" t="s">
        <v>421</v>
      </c>
      <c r="C26" s="34"/>
      <c r="D26" s="64"/>
      <c r="F26" s="165">
        <f>'Traffic Calcs'!F59</f>
        <v>1524321.7962098497</v>
      </c>
      <c r="G26" s="165">
        <f>'Traffic Calcs'!G59</f>
        <v>0</v>
      </c>
      <c r="H26" s="165">
        <f>'Traffic Calcs'!H59</f>
        <v>0</v>
      </c>
      <c r="I26" s="165">
        <f>'Traffic Calcs'!I59</f>
        <v>0</v>
      </c>
      <c r="J26" s="165">
        <f>'Traffic Calcs'!J59</f>
        <v>0</v>
      </c>
      <c r="K26" s="165">
        <f>'Traffic Calcs'!K59</f>
        <v>0</v>
      </c>
      <c r="L26" s="165">
        <f>'Traffic Calcs'!L59</f>
        <v>0</v>
      </c>
      <c r="M26" s="165">
        <f>'Traffic Calcs'!M59</f>
        <v>0</v>
      </c>
      <c r="N26" s="165">
        <f>'Traffic Calcs'!N59</f>
        <v>0</v>
      </c>
      <c r="O26" s="165">
        <f>'Traffic Calcs'!O59</f>
        <v>0</v>
      </c>
      <c r="P26" s="165">
        <f>'Traffic Calcs'!P59</f>
        <v>9434.3099476251664</v>
      </c>
      <c r="Q26" s="165">
        <f>'Traffic Calcs'!Q59</f>
        <v>18868.619895250333</v>
      </c>
      <c r="R26" s="165">
        <f>'Traffic Calcs'!R59</f>
        <v>28302.929842875492</v>
      </c>
      <c r="S26" s="165">
        <f>'Traffic Calcs'!S59</f>
        <v>37737.239790500666</v>
      </c>
      <c r="T26" s="165">
        <f>'Traffic Calcs'!T59</f>
        <v>47171.549738125825</v>
      </c>
      <c r="U26" s="165">
        <f>'Traffic Calcs'!U59</f>
        <v>73282.940240620461</v>
      </c>
      <c r="V26" s="165">
        <f>'Traffic Calcs'!V59</f>
        <v>75625.593464063451</v>
      </c>
      <c r="W26" s="165">
        <f>'Traffic Calcs'!W59</f>
        <v>78043.134841656487</v>
      </c>
      <c r="X26" s="165">
        <f>'Traffic Calcs'!X59</f>
        <v>80537.958340878773</v>
      </c>
      <c r="Y26" s="165">
        <f>'Traffic Calcs'!Y59</f>
        <v>83112.53445773873</v>
      </c>
      <c r="Z26" s="165">
        <f>'Traffic Calcs'!Z59</f>
        <v>85769.412663179712</v>
      </c>
      <c r="AA26" s="165">
        <f>'Traffic Calcs'!AA59</f>
        <v>88511.223927690589</v>
      </c>
      <c r="AB26" s="165">
        <f>'Traffic Calcs'!AB59</f>
        <v>91340.683326621103</v>
      </c>
      <c r="AC26" s="165">
        <f>'Traffic Calcs'!AC59</f>
        <v>94260.592728782183</v>
      </c>
      <c r="AD26" s="165">
        <f>'Traffic Calcs'!AD59</f>
        <v>97273.843570992904</v>
      </c>
      <c r="AE26" s="165">
        <f>'Traffic Calcs'!AE59</f>
        <v>100383.41972132269</v>
      </c>
      <c r="AF26" s="165">
        <f>'Traffic Calcs'!AF59</f>
        <v>103592.40043386286</v>
      </c>
      <c r="AG26" s="165">
        <f>'Traffic Calcs'!AG59</f>
        <v>106903.96339795465</v>
      </c>
      <c r="AH26" s="165">
        <f>'Traffic Calcs'!AH59</f>
        <v>110321.38788489178</v>
      </c>
      <c r="AI26" s="165">
        <f>'Traffic Calcs'!AI59</f>
        <v>113848.05799521565</v>
      </c>
      <c r="AJ26" s="165">
        <f>'Traffic Calcs'!AJ59</f>
        <v>0</v>
      </c>
      <c r="AK26" s="165">
        <f>'Traffic Calcs'!AK59</f>
        <v>0</v>
      </c>
      <c r="AL26" s="165">
        <f>'Traffic Calcs'!AL59</f>
        <v>0</v>
      </c>
      <c r="AM26" s="165">
        <f>'Traffic Calcs'!AM59</f>
        <v>0</v>
      </c>
      <c r="AN26" s="165">
        <f>'Traffic Calcs'!AN59</f>
        <v>0</v>
      </c>
      <c r="AO26" s="165">
        <f>'Traffic Calcs'!AO59</f>
        <v>0</v>
      </c>
      <c r="AP26" s="165">
        <f>'Traffic Calcs'!AP59</f>
        <v>0</v>
      </c>
      <c r="AQ26" s="165">
        <f>'Traffic Calcs'!AQ59</f>
        <v>0</v>
      </c>
      <c r="AR26" s="165">
        <f>'Traffic Calcs'!AR59</f>
        <v>0</v>
      </c>
      <c r="AS26" s="165">
        <f>'Traffic Calcs'!AS59</f>
        <v>0</v>
      </c>
      <c r="AT26" s="165">
        <f>'Traffic Calcs'!AT59</f>
        <v>0</v>
      </c>
    </row>
    <row r="27" spans="1:46" ht="4.4000000000000004" customHeight="1" thickBot="1" x14ac:dyDescent="0.4">
      <c r="A27" s="4"/>
      <c r="B27" s="4"/>
      <c r="C27" s="4"/>
      <c r="D27" s="4"/>
      <c r="E27" s="4"/>
      <c r="F27" s="4"/>
      <c r="G27" s="4"/>
      <c r="H27" s="4"/>
      <c r="I27" s="4"/>
      <c r="J27" s="4"/>
      <c r="K27" s="4"/>
      <c r="L27" s="4"/>
      <c r="M27" s="4"/>
      <c r="N27" s="4"/>
      <c r="O27" s="4"/>
      <c r="P27" s="4"/>
      <c r="Q27" s="4"/>
      <c r="R27" s="4"/>
      <c r="S27" s="4"/>
      <c r="T27" s="4"/>
      <c r="U27" s="4"/>
      <c r="V27" s="4"/>
      <c r="W27" s="4"/>
      <c r="X27" s="163"/>
      <c r="Y27" s="4"/>
      <c r="Z27" s="4"/>
      <c r="AA27" s="4"/>
      <c r="AB27" s="4"/>
      <c r="AC27" s="4"/>
      <c r="AD27" s="4"/>
      <c r="AE27" s="4"/>
      <c r="AF27" s="4"/>
      <c r="AG27" s="4"/>
      <c r="AH27" s="4"/>
      <c r="AI27" s="4"/>
      <c r="AJ27" s="4"/>
      <c r="AK27" s="4"/>
      <c r="AL27" s="4"/>
      <c r="AM27" s="4"/>
      <c r="AN27" s="4"/>
      <c r="AO27" s="4"/>
      <c r="AP27" s="4"/>
      <c r="AQ27" s="4"/>
      <c r="AR27" s="4"/>
      <c r="AS27" s="4"/>
      <c r="AT27" s="4"/>
    </row>
    <row r="28" spans="1:46" x14ac:dyDescent="0.35">
      <c r="Q28" s="46"/>
      <c r="R28" s="46"/>
      <c r="S28" s="46"/>
      <c r="T28" s="46"/>
      <c r="U28" s="46"/>
      <c r="V28" s="46"/>
      <c r="W28" s="46"/>
      <c r="X28" s="298"/>
      <c r="Y28" s="189"/>
      <c r="Z28" s="46"/>
      <c r="AA28" s="46"/>
      <c r="AB28" s="46"/>
      <c r="AC28" s="46"/>
      <c r="AD28" s="46"/>
      <c r="AE28" s="46"/>
    </row>
    <row r="29" spans="1:46" x14ac:dyDescent="0.35">
      <c r="A29" s="371" t="s">
        <v>417</v>
      </c>
      <c r="B29" s="372"/>
    </row>
    <row r="30" spans="1:46" x14ac:dyDescent="0.35">
      <c r="A30" s="8"/>
    </row>
    <row r="31" spans="1:46" x14ac:dyDescent="0.35">
      <c r="A31" s="371" t="s">
        <v>444</v>
      </c>
      <c r="B31" s="372"/>
    </row>
    <row r="32" spans="1:46" x14ac:dyDescent="0.35">
      <c r="B32" t="s">
        <v>445</v>
      </c>
      <c r="D32" s="64"/>
      <c r="F32" s="165"/>
      <c r="G32" s="18">
        <f>(Inputs!$D$91)*(1+Inputs!$D$90)^(G$16-Inputs!$D$8)</f>
        <v>72650000000</v>
      </c>
      <c r="H32" s="18">
        <f>(Inputs!$D$91)*(1+Inputs!$D$90)^(H$16-Inputs!$D$8)</f>
        <v>73273156546.563339</v>
      </c>
      <c r="I32" s="18">
        <f>(Inputs!$D$91)*(1+Inputs!$D$90)^(I$16-Inputs!$D$8)</f>
        <v>73901658228.453934</v>
      </c>
      <c r="J32" s="18">
        <f>(Inputs!$D$91)*(1+Inputs!$D$90)^(J$16-Inputs!$D$8)</f>
        <v>74535550893.656235</v>
      </c>
      <c r="K32" s="18">
        <f>(Inputs!$D$91)*(1+Inputs!$D$90)^(K$16-Inputs!$D$8)</f>
        <v>75174880783.41655</v>
      </c>
      <c r="L32" s="18">
        <f>(Inputs!$D$91)*(1+Inputs!$D$90)^(L$16-Inputs!$D$8)</f>
        <v>75819694535.616196</v>
      </c>
      <c r="M32" s="18">
        <f>(Inputs!$D$91)*(1+Inputs!$D$90)^(M$16-Inputs!$D$8)</f>
        <v>76470039188.173691</v>
      </c>
      <c r="N32" s="18">
        <f>(Inputs!$D$91)*(1+Inputs!$D$90)^(N$16-Inputs!$D$8)</f>
        <v>77125962182.476028</v>
      </c>
      <c r="O32" s="18">
        <f>(Inputs!$D$91)*(1+Inputs!$D$90)^(O$16-Inputs!$D$8)</f>
        <v>77787511366.839508</v>
      </c>
      <c r="P32" s="18">
        <f>(Inputs!$D$91)*(1+Inputs!$D$90)^(P$16-Inputs!$D$8)</f>
        <v>78454735000.000092</v>
      </c>
      <c r="Q32" s="18">
        <f>(Inputs!$D$91)*(1+Inputs!$D$90)^(Q$16-Inputs!$D$8)</f>
        <v>79127681754.633835</v>
      </c>
      <c r="R32" s="18">
        <f>(Inputs!$D$91)*(1+Inputs!$D$90)^(R$16-Inputs!$D$8)</f>
        <v>79806400720.907471</v>
      </c>
      <c r="S32" s="18">
        <f>(Inputs!$D$91)*(1+Inputs!$D$90)^(S$16-Inputs!$D$8)</f>
        <v>80490941410.059448</v>
      </c>
      <c r="T32" s="18">
        <f>(Inputs!$D$91)*(1+Inputs!$D$90)^(T$16-Inputs!$D$8)</f>
        <v>81181353758.011627</v>
      </c>
      <c r="U32" s="18">
        <f>(Inputs!$D$91)*(1+Inputs!$D$90)^(U$16-Inputs!$D$8)</f>
        <v>81877688129.012009</v>
      </c>
      <c r="V32" s="18">
        <f>(Inputs!$D$91)*(1+Inputs!$D$90)^(V$16-Inputs!$D$8)</f>
        <v>82579995319.308853</v>
      </c>
      <c r="W32" s="18">
        <f>(Inputs!$D$91)*(1+Inputs!$D$90)^(W$16-Inputs!$D$8)</f>
        <v>83288326560.855942</v>
      </c>
      <c r="X32" s="18">
        <f>(Inputs!$D$91)*(1+Inputs!$D$90)^(X$16-Inputs!$D$8)</f>
        <v>84002733525.050064</v>
      </c>
      <c r="Y32" s="18">
        <f>(Inputs!$D$91)*(1+Inputs!$D$90)^(Y$16-Inputs!$D$8)</f>
        <v>84723268326.500168</v>
      </c>
      <c r="Z32" s="18">
        <f>(Inputs!$D$91)*(1+Inputs!$D$90)^(Z$16-Inputs!$D$8)</f>
        <v>85449983526.829147</v>
      </c>
      <c r="AA32" s="18">
        <f>(Inputs!$D$91)*(1+Inputs!$D$90)^(AA$16-Inputs!$D$8)</f>
        <v>86182932138.508072</v>
      </c>
      <c r="AB32" s="18">
        <f>(Inputs!$D$91)*(1+Inputs!$D$90)^(AB$16-Inputs!$D$8)</f>
        <v>86922167628.723297</v>
      </c>
      <c r="AC32" s="18">
        <f>(Inputs!$D$91)*(1+Inputs!$D$90)^(AC$16-Inputs!$D$8)</f>
        <v>87667743923.276825</v>
      </c>
      <c r="AD32" s="18">
        <f>(Inputs!$D$91)*(1+Inputs!$D$90)^(AD$16-Inputs!$D$8)</f>
        <v>88419715410.520157</v>
      </c>
      <c r="AE32" s="18">
        <f>(Inputs!$D$91)*(1+Inputs!$D$90)^(AE$16-Inputs!$D$8)</f>
        <v>89178136945.321716</v>
      </c>
      <c r="AF32" s="18">
        <f>(Inputs!$D$91)*(1+Inputs!$D$90)^(AF$16-Inputs!$D$8)</f>
        <v>89943063853.068436</v>
      </c>
      <c r="AG32" s="18">
        <f>(Inputs!$D$91)*(1+Inputs!$D$90)^(AG$16-Inputs!$D$8)</f>
        <v>90714551933.70166</v>
      </c>
      <c r="AH32" s="18">
        <f>(Inputs!$D$91)*(1+Inputs!$D$90)^(AH$16-Inputs!$D$8)</f>
        <v>91492657465.787628</v>
      </c>
      <c r="AI32" s="18">
        <f>(Inputs!$D$91)*(1+Inputs!$D$90)^(AI$16-Inputs!$D$8)</f>
        <v>92277437210.62291</v>
      </c>
      <c r="AJ32" s="18">
        <f>(Inputs!$D$91)*(1+Inputs!$D$90)^(AJ$16-Inputs!$D$8)</f>
        <v>93068948416.374969</v>
      </c>
      <c r="AK32" s="18">
        <f>(Inputs!$D$91)*(1+Inputs!$D$90)^(AK$16-Inputs!$D$8)</f>
        <v>93867248822.258362</v>
      </c>
      <c r="AL32" s="18">
        <f>(Inputs!$D$91)*(1+Inputs!$D$90)^(AL$16-Inputs!$D$8)</f>
        <v>94672396662.74675</v>
      </c>
      <c r="AM32" s="18">
        <f>(Inputs!$D$91)*(1+Inputs!$D$90)^(AM$16-Inputs!$D$8)</f>
        <v>95484450671.820816</v>
      </c>
      <c r="AN32" s="18">
        <f>(Inputs!$D$91)*(1+Inputs!$D$90)^(AN$16-Inputs!$D$8)</f>
        <v>96303470087.253006</v>
      </c>
      <c r="AO32" s="18">
        <f>(Inputs!$D$91)*(1+Inputs!$D$90)^(AO$16-Inputs!$D$8)</f>
        <v>97129514654.92868</v>
      </c>
      <c r="AP32" s="18">
        <f>(Inputs!$D$91)*(1+Inputs!$D$90)^(AP$16-Inputs!$D$8)</f>
        <v>97962644633.204514</v>
      </c>
      <c r="AQ32" s="18">
        <f>(Inputs!$D$91)*(1+Inputs!$D$90)^(AQ$16-Inputs!$D$8)</f>
        <v>98802920797.304153</v>
      </c>
      <c r="AR32" s="18">
        <f>(Inputs!$D$91)*(1+Inputs!$D$90)^(AR$16-Inputs!$D$8)</f>
        <v>99650404443.751785</v>
      </c>
      <c r="AS32" s="18">
        <f>(Inputs!$D$91)*(1+Inputs!$D$90)^(AS$16-Inputs!$D$8)</f>
        <v>100505157394.84343</v>
      </c>
      <c r="AT32" s="18">
        <f>(Inputs!$D$91)*(1+Inputs!$D$90)^(AT$16-Inputs!$D$8)</f>
        <v>101367242003.15692</v>
      </c>
    </row>
    <row r="34" spans="1:48" x14ac:dyDescent="0.35">
      <c r="B34" t="s">
        <v>446</v>
      </c>
      <c r="D34" s="64"/>
      <c r="F34" s="165"/>
      <c r="G34" s="18">
        <f>($H$6)*(1+Inputs!$D$90)^(G$16-Inputs!$D$8)</f>
        <v>969</v>
      </c>
      <c r="H34" s="18">
        <f>($H$6)*(1+Inputs!$D$90)^(H$16-Inputs!$D$8)</f>
        <v>977.31161312621987</v>
      </c>
      <c r="I34" s="18">
        <f>($H$6)*(1+Inputs!$D$90)^(I$16-Inputs!$D$8)</f>
        <v>985.69451924806413</v>
      </c>
      <c r="J34" s="18">
        <f>($H$6)*(1+Inputs!$D$90)^(J$16-Inputs!$D$8)</f>
        <v>994.14932988235216</v>
      </c>
      <c r="K34" s="18">
        <f>($H$6)*(1+Inputs!$D$90)^(K$16-Inputs!$D$8)</f>
        <v>1002.6766617911993</v>
      </c>
      <c r="L34" s="18">
        <f>($H$6)*(1+Inputs!$D$90)^(L$16-Inputs!$D$8)</f>
        <v>1011.2771370270076</v>
      </c>
      <c r="M34" s="18">
        <f>($H$6)*(1+Inputs!$D$90)^(M$16-Inputs!$D$8)</f>
        <v>1019.9513829778432</v>
      </c>
      <c r="N34" s="18">
        <f>($H$6)*(1+Inputs!$D$90)^(N$16-Inputs!$D$8)</f>
        <v>1028.7000324132041</v>
      </c>
      <c r="O34" s="18">
        <f>($H$6)*(1+Inputs!$D$90)^(O$16-Inputs!$D$8)</f>
        <v>1037.5237235301786</v>
      </c>
      <c r="P34" s="18">
        <f>($H$6)*(1+Inputs!$D$90)^(P$16-Inputs!$D$8)</f>
        <v>1046.4231000000011</v>
      </c>
      <c r="Q34" s="18">
        <f>($H$6)*(1+Inputs!$D$90)^(Q$16-Inputs!$D$8)</f>
        <v>1055.398811015006</v>
      </c>
      <c r="R34" s="18">
        <f>($H$6)*(1+Inputs!$D$90)^(R$16-Inputs!$D$8)</f>
        <v>1064.4515113359855</v>
      </c>
      <c r="S34" s="18">
        <f>($H$6)*(1+Inputs!$D$90)^(S$16-Inputs!$D$8)</f>
        <v>1073.5818613399533</v>
      </c>
      <c r="T34" s="18">
        <f>($H$6)*(1+Inputs!$D$90)^(T$16-Inputs!$D$8)</f>
        <v>1082.7905270683175</v>
      </c>
      <c r="U34" s="18">
        <f>($H$6)*(1+Inputs!$D$90)^(U$16-Inputs!$D$8)</f>
        <v>1092.0781802754666</v>
      </c>
      <c r="V34" s="18">
        <f>($H$6)*(1+Inputs!$D$90)^(V$16-Inputs!$D$8)</f>
        <v>1101.445498477774</v>
      </c>
      <c r="W34" s="18">
        <f>($H$6)*(1+Inputs!$D$90)^(W$16-Inputs!$D$8)</f>
        <v>1110.8931650030202</v>
      </c>
      <c r="X34" s="18">
        <f>($H$6)*(1+Inputs!$D$90)^(X$16-Inputs!$D$8)</f>
        <v>1120.4218690402411</v>
      </c>
      <c r="Y34" s="18">
        <f>($H$6)*(1+Inputs!$D$90)^(Y$16-Inputs!$D$8)</f>
        <v>1130.0323056900022</v>
      </c>
      <c r="Z34" s="18">
        <f>($H$6)*(1+Inputs!$D$90)^(Z$16-Inputs!$D$8)</f>
        <v>1139.7251760151059</v>
      </c>
      <c r="AA34" s="18">
        <f>($H$6)*(1+Inputs!$D$90)^(AA$16-Inputs!$D$8)</f>
        <v>1149.5011870917319</v>
      </c>
      <c r="AB34" s="18">
        <f>($H$6)*(1+Inputs!$D$90)^(AB$16-Inputs!$D$8)</f>
        <v>1159.3610520610168</v>
      </c>
      <c r="AC34" s="18">
        <f>($H$6)*(1+Inputs!$D$90)^(AC$16-Inputs!$D$8)</f>
        <v>1169.3054901810769</v>
      </c>
      <c r="AD34" s="18">
        <f>($H$6)*(1+Inputs!$D$90)^(AD$16-Inputs!$D$8)</f>
        <v>1179.3352268794774</v>
      </c>
      <c r="AE34" s="18">
        <f>($H$6)*(1+Inputs!$D$90)^(AE$16-Inputs!$D$8)</f>
        <v>1189.4509938061492</v>
      </c>
      <c r="AF34" s="18">
        <f>($H$6)*(1+Inputs!$D$90)^(AF$16-Inputs!$D$8)</f>
        <v>1199.6535288867628</v>
      </c>
      <c r="AG34" s="18">
        <f>($H$6)*(1+Inputs!$D$90)^(AG$16-Inputs!$D$8)</f>
        <v>1209.9435763765575</v>
      </c>
      <c r="AH34" s="18">
        <f>($H$6)*(1+Inputs!$D$90)^(AH$16-Inputs!$D$8)</f>
        <v>1220.3218869146347</v>
      </c>
      <c r="AI34" s="18">
        <f>($H$6)*(1+Inputs!$D$90)^(AI$16-Inputs!$D$8)</f>
        <v>1230.7892175787142</v>
      </c>
      <c r="AJ34" s="18">
        <f>($H$6)*(1+Inputs!$D$90)^(AJ$16-Inputs!$D$8)</f>
        <v>1241.3463319403627</v>
      </c>
      <c r="AK34" s="18">
        <f>($H$6)*(1+Inputs!$D$90)^(AK$16-Inputs!$D$8)</f>
        <v>1251.9940001206933</v>
      </c>
      <c r="AL34" s="18">
        <f>($H$6)*(1+Inputs!$D$90)^(AL$16-Inputs!$D$8)</f>
        <v>1262.7329988465465</v>
      </c>
      <c r="AM34" s="18">
        <f>($H$6)*(1+Inputs!$D$90)^(AM$16-Inputs!$D$8)</f>
        <v>1273.5641115071489</v>
      </c>
      <c r="AN34" s="18">
        <f>($H$6)*(1+Inputs!$D$90)^(AN$16-Inputs!$D$8)</f>
        <v>1284.4881282112617</v>
      </c>
      <c r="AO34" s="18">
        <f>($H$6)*(1+Inputs!$D$90)^(AO$16-Inputs!$D$8)</f>
        <v>1295.5058458448161</v>
      </c>
      <c r="AP34" s="18">
        <f>($H$6)*(1+Inputs!$D$90)^(AP$16-Inputs!$D$8)</f>
        <v>1306.6180681290457</v>
      </c>
      <c r="AQ34" s="18">
        <f>($H$6)*(1+Inputs!$D$90)^(AQ$16-Inputs!$D$8)</f>
        <v>1317.8256056791154</v>
      </c>
      <c r="AR34" s="18">
        <f>($H$6)*(1+Inputs!$D$90)^(AR$16-Inputs!$D$8)</f>
        <v>1329.129276063255</v>
      </c>
      <c r="AS34" s="18">
        <f>($H$6)*(1+Inputs!$D$90)^(AS$16-Inputs!$D$8)</f>
        <v>1340.5299038623989</v>
      </c>
      <c r="AT34" s="18">
        <f>($H$6)*(1+Inputs!$D$90)^(AT$16-Inputs!$D$8)</f>
        <v>1352.028320730338</v>
      </c>
    </row>
    <row r="35" spans="1:48" x14ac:dyDescent="0.35">
      <c r="B35" t="str">
        <f>Inputs!B96</f>
        <v>Number of Serious Injuries - 2024</v>
      </c>
      <c r="D35" s="64"/>
      <c r="F35" s="165"/>
      <c r="G35" s="18">
        <f>($H$7)*(1+Inputs!$D$90)^(G$16-Inputs!$D$8)</f>
        <v>4655</v>
      </c>
      <c r="H35" s="18">
        <f>($H$7)*(1+Inputs!$D$90)^(H$16-Inputs!$D$8)</f>
        <v>4694.9283375671348</v>
      </c>
      <c r="I35" s="18">
        <f>($H$7)*(1+Inputs!$D$90)^(I$16-Inputs!$D$8)</f>
        <v>4735.1991610936411</v>
      </c>
      <c r="J35" s="18">
        <f>($H$7)*(1+Inputs!$D$90)^(J$16-Inputs!$D$8)</f>
        <v>4775.8154082583587</v>
      </c>
      <c r="K35" s="18">
        <f>($H$7)*(1+Inputs!$D$90)^(K$16-Inputs!$D$8)</f>
        <v>4816.7800419381147</v>
      </c>
      <c r="L35" s="18">
        <f>($H$7)*(1+Inputs!$D$90)^(L$16-Inputs!$D$8)</f>
        <v>4858.0960504238601</v>
      </c>
      <c r="M35" s="18">
        <f>($H$7)*(1+Inputs!$D$90)^(M$16-Inputs!$D$8)</f>
        <v>4899.7664476386581</v>
      </c>
      <c r="N35" s="18">
        <f>($H$7)*(1+Inputs!$D$90)^(N$16-Inputs!$D$8)</f>
        <v>4941.7942733575492</v>
      </c>
      <c r="O35" s="18">
        <f>($H$7)*(1+Inputs!$D$90)^(O$16-Inputs!$D$8)</f>
        <v>4984.1825934292892</v>
      </c>
      <c r="P35" s="18">
        <f>($H$7)*(1+Inputs!$D$90)^(P$16-Inputs!$D$8)</f>
        <v>5026.9345000000058</v>
      </c>
      <c r="Q35" s="18">
        <f>($H$7)*(1+Inputs!$D$90)^(Q$16-Inputs!$D$8)</f>
        <v>5070.0531117387536</v>
      </c>
      <c r="R35" s="18">
        <f>($H$7)*(1+Inputs!$D$90)^(R$16-Inputs!$D$8)</f>
        <v>5113.5415740650278</v>
      </c>
      <c r="S35" s="18">
        <f>($H$7)*(1+Inputs!$D$90)^(S$16-Inputs!$D$8)</f>
        <v>5157.4030593782072</v>
      </c>
      <c r="T35" s="18">
        <f>($H$7)*(1+Inputs!$D$90)^(T$16-Inputs!$D$8)</f>
        <v>5201.6407672889754</v>
      </c>
      <c r="U35" s="18">
        <f>($H$7)*(1+Inputs!$D$90)^(U$16-Inputs!$D$8)</f>
        <v>5246.2579248527309</v>
      </c>
      <c r="V35" s="18">
        <f>($H$7)*(1+Inputs!$D$90)^(V$16-Inputs!$D$8)</f>
        <v>5291.2577868049921</v>
      </c>
      <c r="W35" s="18">
        <f>($H$7)*(1+Inputs!$D$90)^(W$16-Inputs!$D$8)</f>
        <v>5336.6436357988223</v>
      </c>
      <c r="X35" s="18">
        <f>($H$7)*(1+Inputs!$D$90)^(X$16-Inputs!$D$8)</f>
        <v>5382.4187826442949</v>
      </c>
      <c r="Y35" s="18">
        <f>($H$7)*(1+Inputs!$D$90)^(Y$16-Inputs!$D$8)</f>
        <v>5428.5865665500105</v>
      </c>
      <c r="Z35" s="18">
        <f>($H$7)*(1+Inputs!$D$90)^(Z$16-Inputs!$D$8)</f>
        <v>5475.1503553666853</v>
      </c>
      <c r="AA35" s="18">
        <f>($H$7)*(1+Inputs!$D$90)^(AA$16-Inputs!$D$8)</f>
        <v>5522.1135458328299</v>
      </c>
      <c r="AB35" s="18">
        <f>($H$7)*(1+Inputs!$D$90)^(AB$16-Inputs!$D$8)</f>
        <v>5569.4795638225323</v>
      </c>
      <c r="AC35" s="18">
        <f>($H$7)*(1+Inputs!$D$90)^(AC$16-Inputs!$D$8)</f>
        <v>5617.2518645953696</v>
      </c>
      <c r="AD35" s="18">
        <f>($H$7)*(1+Inputs!$D$90)^(AD$16-Inputs!$D$8)</f>
        <v>5665.43393304847</v>
      </c>
      <c r="AE35" s="18">
        <f>($H$7)*(1+Inputs!$D$90)^(AE$16-Inputs!$D$8)</f>
        <v>5714.0292839707163</v>
      </c>
      <c r="AF35" s="18">
        <f>($H$7)*(1+Inputs!$D$90)^(AF$16-Inputs!$D$8)</f>
        <v>5763.0414622991548</v>
      </c>
      <c r="AG35" s="18">
        <f>($H$7)*(1+Inputs!$D$90)^(AG$16-Inputs!$D$8)</f>
        <v>5812.4740433775805</v>
      </c>
      <c r="AH35" s="18">
        <f>($H$7)*(1+Inputs!$D$90)^(AH$16-Inputs!$D$8)</f>
        <v>5862.3306332173624</v>
      </c>
      <c r="AI35" s="18">
        <f>($H$7)*(1+Inputs!$D$90)^(AI$16-Inputs!$D$8)</f>
        <v>5912.61486876049</v>
      </c>
      <c r="AJ35" s="18">
        <f>($H$7)*(1+Inputs!$D$90)^(AJ$16-Inputs!$D$8)</f>
        <v>5963.3304181448793</v>
      </c>
      <c r="AK35" s="18">
        <f>($H$7)*(1+Inputs!$D$90)^(AK$16-Inputs!$D$8)</f>
        <v>6014.4809809719573</v>
      </c>
      <c r="AL35" s="18">
        <f>($H$7)*(1+Inputs!$D$90)^(AL$16-Inputs!$D$8)</f>
        <v>6066.0702885765468</v>
      </c>
      <c r="AM35" s="18">
        <f>($H$7)*(1+Inputs!$D$90)^(AM$16-Inputs!$D$8)</f>
        <v>6118.1021042990487</v>
      </c>
      <c r="AN35" s="18">
        <f>($H$7)*(1+Inputs!$D$90)^(AN$16-Inputs!$D$8)</f>
        <v>6170.5802237599828</v>
      </c>
      <c r="AO35" s="18">
        <f>($H$7)*(1+Inputs!$D$90)^(AO$16-Inputs!$D$8)</f>
        <v>6223.5084751368622</v>
      </c>
      <c r="AP35" s="18">
        <f>($H$7)*(1+Inputs!$D$90)^(AP$16-Inputs!$D$8)</f>
        <v>6276.8907194434551</v>
      </c>
      <c r="AQ35" s="18">
        <f>($H$7)*(1+Inputs!$D$90)^(AQ$16-Inputs!$D$8)</f>
        <v>6330.7308508114365</v>
      </c>
      <c r="AR35" s="18">
        <f>($H$7)*(1+Inputs!$D$90)^(AR$16-Inputs!$D$8)</f>
        <v>6385.0327967744606</v>
      </c>
      <c r="AS35" s="18">
        <f>($H$7)*(1+Inputs!$D$90)^(AS$16-Inputs!$D$8)</f>
        <v>6439.8005185546617</v>
      </c>
      <c r="AT35" s="18">
        <f>($H$7)*(1+Inputs!$D$90)^(AT$16-Inputs!$D$8)</f>
        <v>6495.038011351623</v>
      </c>
    </row>
    <row r="36" spans="1:48" x14ac:dyDescent="0.35">
      <c r="D36" s="64"/>
      <c r="F36" s="165"/>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row>
    <row r="37" spans="1:48" x14ac:dyDescent="0.35">
      <c r="B37" t="s">
        <v>447</v>
      </c>
      <c r="D37" s="64"/>
      <c r="F37" s="165"/>
      <c r="G37" s="388">
        <f>G34/G32</f>
        <v>1.3337921541637991E-8</v>
      </c>
      <c r="H37" s="388">
        <f t="shared" ref="H37:AT37" si="3">H34/H32</f>
        <v>1.3337921541637991E-8</v>
      </c>
      <c r="I37" s="388">
        <f t="shared" si="3"/>
        <v>1.3337921541637991E-8</v>
      </c>
      <c r="J37" s="388">
        <f t="shared" si="3"/>
        <v>1.3337921541637989E-8</v>
      </c>
      <c r="K37" s="388">
        <f t="shared" si="3"/>
        <v>1.3337921541637989E-8</v>
      </c>
      <c r="L37" s="388">
        <f t="shared" si="3"/>
        <v>1.3337921541637992E-8</v>
      </c>
      <c r="M37" s="388">
        <f t="shared" si="3"/>
        <v>1.3337921541637991E-8</v>
      </c>
      <c r="N37" s="388">
        <f t="shared" si="3"/>
        <v>1.3337921541637992E-8</v>
      </c>
      <c r="O37" s="388">
        <f t="shared" si="3"/>
        <v>1.3337921541637989E-8</v>
      </c>
      <c r="P37" s="388">
        <f t="shared" si="3"/>
        <v>1.3337921541637989E-8</v>
      </c>
      <c r="Q37" s="388">
        <f t="shared" si="3"/>
        <v>1.3337921541637991E-8</v>
      </c>
      <c r="R37" s="388">
        <f t="shared" si="3"/>
        <v>1.3337921541637992E-8</v>
      </c>
      <c r="S37" s="388">
        <f t="shared" si="3"/>
        <v>1.3337921541637991E-8</v>
      </c>
      <c r="T37" s="388">
        <f t="shared" si="3"/>
        <v>1.3337921541637991E-8</v>
      </c>
      <c r="U37" s="388">
        <f t="shared" si="3"/>
        <v>1.3337921541637992E-8</v>
      </c>
      <c r="V37" s="388">
        <f t="shared" si="3"/>
        <v>1.3337921541637991E-8</v>
      </c>
      <c r="W37" s="388">
        <f t="shared" si="3"/>
        <v>1.3337921541637992E-8</v>
      </c>
      <c r="X37" s="388">
        <f t="shared" si="3"/>
        <v>1.3337921541637991E-8</v>
      </c>
      <c r="Y37" s="388">
        <f t="shared" si="3"/>
        <v>1.3337921541637991E-8</v>
      </c>
      <c r="Z37" s="388">
        <f t="shared" si="3"/>
        <v>1.3337921541637991E-8</v>
      </c>
      <c r="AA37" s="388">
        <f t="shared" si="3"/>
        <v>1.3337921541637991E-8</v>
      </c>
      <c r="AB37" s="388">
        <f t="shared" si="3"/>
        <v>1.3337921541637991E-8</v>
      </c>
      <c r="AC37" s="388">
        <f t="shared" si="3"/>
        <v>1.3337921541637991E-8</v>
      </c>
      <c r="AD37" s="388">
        <f t="shared" si="3"/>
        <v>1.3337921541637991E-8</v>
      </c>
      <c r="AE37" s="388">
        <f t="shared" si="3"/>
        <v>1.3337921541637991E-8</v>
      </c>
      <c r="AF37" s="388">
        <f t="shared" si="3"/>
        <v>1.3337921541637991E-8</v>
      </c>
      <c r="AG37" s="388">
        <f t="shared" si="3"/>
        <v>1.3337921541637991E-8</v>
      </c>
      <c r="AH37" s="388">
        <f t="shared" si="3"/>
        <v>1.3337921541637991E-8</v>
      </c>
      <c r="AI37" s="388">
        <f t="shared" si="3"/>
        <v>1.3337921541637989E-8</v>
      </c>
      <c r="AJ37" s="388">
        <f t="shared" si="3"/>
        <v>1.3337921541637991E-8</v>
      </c>
      <c r="AK37" s="388">
        <f t="shared" si="3"/>
        <v>1.3337921541637992E-8</v>
      </c>
      <c r="AL37" s="388">
        <f t="shared" si="3"/>
        <v>1.3337921541637991E-8</v>
      </c>
      <c r="AM37" s="388">
        <f t="shared" si="3"/>
        <v>1.3337921541637991E-8</v>
      </c>
      <c r="AN37" s="388">
        <f t="shared" si="3"/>
        <v>1.3337921541637991E-8</v>
      </c>
      <c r="AO37" s="388">
        <f t="shared" si="3"/>
        <v>1.3337921541637991E-8</v>
      </c>
      <c r="AP37" s="388">
        <f t="shared" si="3"/>
        <v>1.3337921541637991E-8</v>
      </c>
      <c r="AQ37" s="388">
        <f t="shared" si="3"/>
        <v>1.3337921541637991E-8</v>
      </c>
      <c r="AR37" s="388">
        <f t="shared" si="3"/>
        <v>1.3337921541637991E-8</v>
      </c>
      <c r="AS37" s="388">
        <f t="shared" si="3"/>
        <v>1.3337921541637991E-8</v>
      </c>
      <c r="AT37" s="388">
        <f t="shared" si="3"/>
        <v>1.3337921541637991E-8</v>
      </c>
    </row>
    <row r="38" spans="1:48" x14ac:dyDescent="0.35">
      <c r="B38" t="s">
        <v>448</v>
      </c>
      <c r="D38" s="64"/>
      <c r="F38" s="165"/>
      <c r="G38" s="388">
        <f t="shared" ref="G38:AT38" si="4">G35/G32</f>
        <v>6.4074328974535448E-8</v>
      </c>
      <c r="H38" s="388">
        <f t="shared" si="4"/>
        <v>6.4074328974535448E-8</v>
      </c>
      <c r="I38" s="388">
        <f t="shared" si="4"/>
        <v>6.4074328974535434E-8</v>
      </c>
      <c r="J38" s="388">
        <f t="shared" si="4"/>
        <v>6.4074328974535448E-8</v>
      </c>
      <c r="K38" s="388">
        <f t="shared" si="4"/>
        <v>6.4074328974535448E-8</v>
      </c>
      <c r="L38" s="388">
        <f t="shared" si="4"/>
        <v>6.4074328974535448E-8</v>
      </c>
      <c r="M38" s="388">
        <f t="shared" si="4"/>
        <v>6.4074328974535434E-8</v>
      </c>
      <c r="N38" s="388">
        <f t="shared" si="4"/>
        <v>6.4074328974535448E-8</v>
      </c>
      <c r="O38" s="388">
        <f t="shared" si="4"/>
        <v>6.4074328974535434E-8</v>
      </c>
      <c r="P38" s="388">
        <f t="shared" si="4"/>
        <v>6.4074328974535448E-8</v>
      </c>
      <c r="Q38" s="388">
        <f t="shared" si="4"/>
        <v>6.4074328974535434E-8</v>
      </c>
      <c r="R38" s="388">
        <f t="shared" si="4"/>
        <v>6.4074328974535448E-8</v>
      </c>
      <c r="S38" s="388">
        <f t="shared" si="4"/>
        <v>6.4074328974535448E-8</v>
      </c>
      <c r="T38" s="388">
        <f t="shared" si="4"/>
        <v>6.4074328974535434E-8</v>
      </c>
      <c r="U38" s="388">
        <f t="shared" si="4"/>
        <v>6.4074328974535448E-8</v>
      </c>
      <c r="V38" s="388">
        <f t="shared" si="4"/>
        <v>6.4074328974535434E-8</v>
      </c>
      <c r="W38" s="388">
        <f t="shared" si="4"/>
        <v>6.4074328974535448E-8</v>
      </c>
      <c r="X38" s="388">
        <f t="shared" si="4"/>
        <v>6.4074328974535434E-8</v>
      </c>
      <c r="Y38" s="388">
        <f t="shared" si="4"/>
        <v>6.4074328974535448E-8</v>
      </c>
      <c r="Z38" s="388">
        <f t="shared" si="4"/>
        <v>6.4074328974535448E-8</v>
      </c>
      <c r="AA38" s="388">
        <f t="shared" si="4"/>
        <v>6.4074328974535448E-8</v>
      </c>
      <c r="AB38" s="388">
        <f t="shared" si="4"/>
        <v>6.4074328974535448E-8</v>
      </c>
      <c r="AC38" s="388">
        <f t="shared" si="4"/>
        <v>6.4074328974535448E-8</v>
      </c>
      <c r="AD38" s="388">
        <f t="shared" si="4"/>
        <v>6.4074328974535448E-8</v>
      </c>
      <c r="AE38" s="388">
        <f t="shared" si="4"/>
        <v>6.4074328974535434E-8</v>
      </c>
      <c r="AF38" s="388">
        <f t="shared" si="4"/>
        <v>6.4074328974535448E-8</v>
      </c>
      <c r="AG38" s="388">
        <f t="shared" si="4"/>
        <v>6.4074328974535448E-8</v>
      </c>
      <c r="AH38" s="388">
        <f t="shared" si="4"/>
        <v>6.4074328974535434E-8</v>
      </c>
      <c r="AI38" s="388">
        <f t="shared" si="4"/>
        <v>6.4074328974535434E-8</v>
      </c>
      <c r="AJ38" s="388">
        <f t="shared" si="4"/>
        <v>6.4074328974535448E-8</v>
      </c>
      <c r="AK38" s="388">
        <f t="shared" si="4"/>
        <v>6.4074328974535448E-8</v>
      </c>
      <c r="AL38" s="388">
        <f t="shared" si="4"/>
        <v>6.4074328974535448E-8</v>
      </c>
      <c r="AM38" s="388">
        <f t="shared" si="4"/>
        <v>6.4074328974535448E-8</v>
      </c>
      <c r="AN38" s="388">
        <f t="shared" si="4"/>
        <v>6.4074328974535448E-8</v>
      </c>
      <c r="AO38" s="388">
        <f t="shared" si="4"/>
        <v>6.4074328974535448E-8</v>
      </c>
      <c r="AP38" s="388">
        <f t="shared" si="4"/>
        <v>6.4074328974535448E-8</v>
      </c>
      <c r="AQ38" s="388">
        <f t="shared" si="4"/>
        <v>6.4074328974535448E-8</v>
      </c>
      <c r="AR38" s="388">
        <f t="shared" si="4"/>
        <v>6.4074328974535448E-8</v>
      </c>
      <c r="AS38" s="388">
        <f t="shared" si="4"/>
        <v>6.4074328974535448E-8</v>
      </c>
      <c r="AT38" s="388">
        <f t="shared" si="4"/>
        <v>6.4074328974535434E-8</v>
      </c>
    </row>
    <row r="39" spans="1:48" x14ac:dyDescent="0.35">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c r="AH39" s="384"/>
      <c r="AI39" s="384"/>
      <c r="AJ39" s="384"/>
      <c r="AK39" s="384"/>
      <c r="AL39" s="384"/>
      <c r="AM39" s="384"/>
      <c r="AN39" s="384"/>
      <c r="AO39" s="384"/>
      <c r="AP39" s="384"/>
      <c r="AQ39" s="384"/>
      <c r="AR39" s="384"/>
      <c r="AS39" s="384"/>
      <c r="AT39" s="384"/>
    </row>
    <row r="40" spans="1:48" x14ac:dyDescent="0.35">
      <c r="A40" s="371"/>
      <c r="B40" s="371" t="s">
        <v>129</v>
      </c>
      <c r="G40" s="384"/>
      <c r="H40" s="384"/>
      <c r="I40" s="384"/>
      <c r="J40" s="384"/>
      <c r="K40" s="384"/>
      <c r="L40" s="384"/>
      <c r="M40" s="384"/>
      <c r="N40" s="384"/>
      <c r="O40" s="384"/>
      <c r="P40" s="384"/>
      <c r="Q40" s="384"/>
      <c r="R40" s="384"/>
      <c r="S40" s="384"/>
      <c r="T40" s="384"/>
      <c r="U40" s="384"/>
      <c r="V40" s="384"/>
      <c r="W40" s="384"/>
      <c r="X40" s="384"/>
      <c r="Y40" s="384"/>
      <c r="Z40" s="384"/>
      <c r="AA40" s="384"/>
      <c r="AB40" s="384"/>
      <c r="AC40" s="384"/>
      <c r="AD40" s="384"/>
      <c r="AE40" s="384"/>
      <c r="AF40" s="384"/>
      <c r="AG40" s="384"/>
      <c r="AH40" s="384"/>
      <c r="AI40" s="384"/>
      <c r="AJ40" s="384"/>
      <c r="AK40" s="384"/>
      <c r="AL40" s="384"/>
      <c r="AM40" s="384"/>
      <c r="AN40" s="384"/>
      <c r="AO40" s="384"/>
      <c r="AP40" s="384"/>
      <c r="AQ40" s="384"/>
      <c r="AR40" s="384"/>
      <c r="AS40" s="384"/>
      <c r="AT40" s="384"/>
    </row>
    <row r="41" spans="1:48" x14ac:dyDescent="0.35">
      <c r="B41" t="s">
        <v>449</v>
      </c>
      <c r="D41" s="64"/>
      <c r="F41" s="165"/>
      <c r="G41" s="18">
        <f>Inputs!$D$99</f>
        <v>549527000</v>
      </c>
      <c r="H41" s="18">
        <f>Inputs!$D$99</f>
        <v>549527000</v>
      </c>
      <c r="I41" s="18">
        <f>Inputs!$D$99</f>
        <v>549527000</v>
      </c>
      <c r="J41" s="18">
        <f>Inputs!$D$99</f>
        <v>549527000</v>
      </c>
      <c r="K41" s="18">
        <f>Inputs!$D$99</f>
        <v>549527000</v>
      </c>
      <c r="L41" s="18">
        <f>Inputs!$D$99</f>
        <v>549527000</v>
      </c>
      <c r="M41" s="18">
        <f>Inputs!$D$99</f>
        <v>549527000</v>
      </c>
      <c r="N41" s="18">
        <f>Inputs!$D$99</f>
        <v>549527000</v>
      </c>
      <c r="O41" s="18">
        <f>Inputs!$D$99</f>
        <v>549527000</v>
      </c>
      <c r="P41" s="18">
        <f>Inputs!$D$99</f>
        <v>549527000</v>
      </c>
      <c r="Q41" s="18">
        <f>Inputs!$D$99</f>
        <v>549527000</v>
      </c>
      <c r="R41" s="18">
        <f>Inputs!$D$99</f>
        <v>549527000</v>
      </c>
      <c r="S41" s="18">
        <f>Inputs!$D$99</f>
        <v>549527000</v>
      </c>
      <c r="T41" s="18">
        <f>Inputs!$D$99</f>
        <v>549527000</v>
      </c>
      <c r="U41" s="18">
        <f>Inputs!$D$99</f>
        <v>549527000</v>
      </c>
      <c r="V41" s="18">
        <f>Inputs!$D$99</f>
        <v>549527000</v>
      </c>
      <c r="W41" s="18">
        <f>Inputs!$D$99</f>
        <v>549527000</v>
      </c>
      <c r="X41" s="18">
        <f>Inputs!$D$99</f>
        <v>549527000</v>
      </c>
      <c r="Y41" s="18">
        <f>Inputs!$D$99</f>
        <v>549527000</v>
      </c>
      <c r="Z41" s="18">
        <f>Inputs!$D$99</f>
        <v>549527000</v>
      </c>
      <c r="AA41" s="18">
        <f>Inputs!$D$99</f>
        <v>549527000</v>
      </c>
      <c r="AB41" s="18">
        <f>Inputs!$D$99</f>
        <v>549527000</v>
      </c>
      <c r="AC41" s="18">
        <f>Inputs!$D$99</f>
        <v>549527000</v>
      </c>
      <c r="AD41" s="18">
        <f>Inputs!$D$99</f>
        <v>549527000</v>
      </c>
      <c r="AE41" s="18">
        <f>Inputs!$D$99</f>
        <v>549527000</v>
      </c>
      <c r="AF41" s="18">
        <f>Inputs!$D$99</f>
        <v>549527000</v>
      </c>
      <c r="AG41" s="18">
        <f>Inputs!$D$99</f>
        <v>549527000</v>
      </c>
      <c r="AH41" s="18">
        <f>Inputs!$D$99</f>
        <v>549527000</v>
      </c>
      <c r="AI41" s="18">
        <f>Inputs!$D$99</f>
        <v>549527000</v>
      </c>
      <c r="AJ41" s="18">
        <f>Inputs!$D$99</f>
        <v>549527000</v>
      </c>
      <c r="AK41" s="18">
        <f>Inputs!$D$99</f>
        <v>549527000</v>
      </c>
      <c r="AL41" s="18">
        <f>Inputs!$D$99</f>
        <v>549527000</v>
      </c>
      <c r="AM41" s="18">
        <f>Inputs!$D$99</f>
        <v>549527000</v>
      </c>
      <c r="AN41" s="18">
        <f>Inputs!$D$99</f>
        <v>549527000</v>
      </c>
      <c r="AO41" s="18">
        <f>Inputs!$D$99</f>
        <v>549527000</v>
      </c>
      <c r="AP41" s="18">
        <f>Inputs!$D$99</f>
        <v>549527000</v>
      </c>
      <c r="AQ41" s="18">
        <f>Inputs!$D$99</f>
        <v>549527000</v>
      </c>
      <c r="AR41" s="18">
        <f>Inputs!$D$99</f>
        <v>549527000</v>
      </c>
      <c r="AS41" s="18">
        <f>Inputs!$D$99</f>
        <v>549527000</v>
      </c>
      <c r="AT41" s="18">
        <f>Inputs!$D$99</f>
        <v>549527000</v>
      </c>
    </row>
    <row r="42" spans="1:48" x14ac:dyDescent="0.35">
      <c r="A42" s="8"/>
      <c r="G42" s="384"/>
      <c r="H42" s="384"/>
      <c r="I42" s="384"/>
      <c r="J42" s="384"/>
      <c r="K42" s="384"/>
      <c r="L42" s="384"/>
      <c r="M42" s="384"/>
      <c r="N42" s="384"/>
      <c r="O42" s="384"/>
      <c r="P42" s="384"/>
      <c r="Q42" s="384"/>
      <c r="R42" s="384"/>
      <c r="S42" s="384"/>
      <c r="T42" s="384"/>
      <c r="U42" s="384"/>
      <c r="V42" s="384"/>
      <c r="W42" s="384"/>
      <c r="X42" s="384"/>
      <c r="Y42" s="384"/>
      <c r="Z42" s="384"/>
      <c r="AA42" s="384"/>
      <c r="AB42" s="384"/>
      <c r="AC42" s="384"/>
      <c r="AD42" s="384"/>
      <c r="AE42" s="384"/>
      <c r="AF42" s="384"/>
      <c r="AG42" s="384"/>
      <c r="AH42" s="384"/>
      <c r="AI42" s="384"/>
      <c r="AJ42" s="384"/>
      <c r="AK42" s="384"/>
      <c r="AL42" s="384"/>
      <c r="AM42" s="384"/>
      <c r="AN42" s="384"/>
      <c r="AO42" s="384"/>
      <c r="AP42" s="384"/>
      <c r="AQ42" s="384"/>
      <c r="AR42" s="384"/>
      <c r="AS42" s="384"/>
      <c r="AT42" s="384"/>
    </row>
    <row r="43" spans="1:48" x14ac:dyDescent="0.35">
      <c r="A43" s="8"/>
      <c r="B43" t="str">
        <f>Inputs!B94</f>
        <v>Fatalities involving Trains - 2024</v>
      </c>
      <c r="G43" s="389">
        <f>$H$8</f>
        <v>9</v>
      </c>
      <c r="H43" s="389">
        <f t="shared" ref="H43:AT43" si="5">$H$8</f>
        <v>9</v>
      </c>
      <c r="I43" s="389">
        <f t="shared" si="5"/>
        <v>9</v>
      </c>
      <c r="J43" s="389">
        <f t="shared" si="5"/>
        <v>9</v>
      </c>
      <c r="K43" s="389">
        <f t="shared" si="5"/>
        <v>9</v>
      </c>
      <c r="L43" s="389">
        <f t="shared" si="5"/>
        <v>9</v>
      </c>
      <c r="M43" s="389">
        <f t="shared" si="5"/>
        <v>9</v>
      </c>
      <c r="N43" s="389">
        <f t="shared" si="5"/>
        <v>9</v>
      </c>
      <c r="O43" s="389">
        <f t="shared" si="5"/>
        <v>9</v>
      </c>
      <c r="P43" s="389">
        <f t="shared" si="5"/>
        <v>9</v>
      </c>
      <c r="Q43" s="389">
        <f t="shared" si="5"/>
        <v>9</v>
      </c>
      <c r="R43" s="389">
        <f t="shared" si="5"/>
        <v>9</v>
      </c>
      <c r="S43" s="389">
        <f t="shared" si="5"/>
        <v>9</v>
      </c>
      <c r="T43" s="389">
        <f t="shared" si="5"/>
        <v>9</v>
      </c>
      <c r="U43" s="389">
        <f t="shared" si="5"/>
        <v>9</v>
      </c>
      <c r="V43" s="389">
        <f t="shared" si="5"/>
        <v>9</v>
      </c>
      <c r="W43" s="389">
        <f t="shared" si="5"/>
        <v>9</v>
      </c>
      <c r="X43" s="389">
        <f t="shared" si="5"/>
        <v>9</v>
      </c>
      <c r="Y43" s="389">
        <f t="shared" si="5"/>
        <v>9</v>
      </c>
      <c r="Z43" s="389">
        <f t="shared" si="5"/>
        <v>9</v>
      </c>
      <c r="AA43" s="389">
        <f t="shared" si="5"/>
        <v>9</v>
      </c>
      <c r="AB43" s="389">
        <f t="shared" si="5"/>
        <v>9</v>
      </c>
      <c r="AC43" s="389">
        <f t="shared" si="5"/>
        <v>9</v>
      </c>
      <c r="AD43" s="389">
        <f t="shared" si="5"/>
        <v>9</v>
      </c>
      <c r="AE43" s="389">
        <f t="shared" si="5"/>
        <v>9</v>
      </c>
      <c r="AF43" s="389">
        <f t="shared" si="5"/>
        <v>9</v>
      </c>
      <c r="AG43" s="389">
        <f t="shared" si="5"/>
        <v>9</v>
      </c>
      <c r="AH43" s="389">
        <f t="shared" si="5"/>
        <v>9</v>
      </c>
      <c r="AI43" s="389">
        <f t="shared" si="5"/>
        <v>9</v>
      </c>
      <c r="AJ43" s="389">
        <f t="shared" si="5"/>
        <v>9</v>
      </c>
      <c r="AK43" s="389">
        <f t="shared" si="5"/>
        <v>9</v>
      </c>
      <c r="AL43" s="389">
        <f t="shared" si="5"/>
        <v>9</v>
      </c>
      <c r="AM43" s="389">
        <f t="shared" si="5"/>
        <v>9</v>
      </c>
      <c r="AN43" s="389">
        <f t="shared" si="5"/>
        <v>9</v>
      </c>
      <c r="AO43" s="389">
        <f t="shared" si="5"/>
        <v>9</v>
      </c>
      <c r="AP43" s="389">
        <f t="shared" si="5"/>
        <v>9</v>
      </c>
      <c r="AQ43" s="389">
        <f t="shared" si="5"/>
        <v>9</v>
      </c>
      <c r="AR43" s="389">
        <f t="shared" si="5"/>
        <v>9</v>
      </c>
      <c r="AS43" s="389">
        <f t="shared" si="5"/>
        <v>9</v>
      </c>
      <c r="AT43" s="389">
        <f t="shared" si="5"/>
        <v>9</v>
      </c>
    </row>
    <row r="44" spans="1:48" x14ac:dyDescent="0.35">
      <c r="A44" s="8"/>
      <c r="B44" t="str">
        <f>Inputs!B95</f>
        <v>Injuries involving Trains - 2024</v>
      </c>
      <c r="G44" s="389">
        <f>$H$9</f>
        <v>30</v>
      </c>
      <c r="H44" s="389">
        <f t="shared" ref="H44:AT44" si="6">$H$9</f>
        <v>30</v>
      </c>
      <c r="I44" s="389">
        <f t="shared" si="6"/>
        <v>30</v>
      </c>
      <c r="J44" s="389">
        <f t="shared" si="6"/>
        <v>30</v>
      </c>
      <c r="K44" s="389">
        <f t="shared" si="6"/>
        <v>30</v>
      </c>
      <c r="L44" s="389">
        <f t="shared" si="6"/>
        <v>30</v>
      </c>
      <c r="M44" s="389">
        <f t="shared" si="6"/>
        <v>30</v>
      </c>
      <c r="N44" s="389">
        <f t="shared" si="6"/>
        <v>30</v>
      </c>
      <c r="O44" s="389">
        <f t="shared" si="6"/>
        <v>30</v>
      </c>
      <c r="P44" s="389">
        <f t="shared" si="6"/>
        <v>30</v>
      </c>
      <c r="Q44" s="389">
        <f t="shared" si="6"/>
        <v>30</v>
      </c>
      <c r="R44" s="389">
        <f t="shared" si="6"/>
        <v>30</v>
      </c>
      <c r="S44" s="389">
        <f t="shared" si="6"/>
        <v>30</v>
      </c>
      <c r="T44" s="389">
        <f t="shared" si="6"/>
        <v>30</v>
      </c>
      <c r="U44" s="389">
        <f t="shared" si="6"/>
        <v>30</v>
      </c>
      <c r="V44" s="389">
        <f t="shared" si="6"/>
        <v>30</v>
      </c>
      <c r="W44" s="389">
        <f t="shared" si="6"/>
        <v>30</v>
      </c>
      <c r="X44" s="389">
        <f t="shared" si="6"/>
        <v>30</v>
      </c>
      <c r="Y44" s="389">
        <f t="shared" si="6"/>
        <v>30</v>
      </c>
      <c r="Z44" s="389">
        <f t="shared" si="6"/>
        <v>30</v>
      </c>
      <c r="AA44" s="389">
        <f t="shared" si="6"/>
        <v>30</v>
      </c>
      <c r="AB44" s="389">
        <f t="shared" si="6"/>
        <v>30</v>
      </c>
      <c r="AC44" s="389">
        <f t="shared" si="6"/>
        <v>30</v>
      </c>
      <c r="AD44" s="389">
        <f t="shared" si="6"/>
        <v>30</v>
      </c>
      <c r="AE44" s="389">
        <f t="shared" si="6"/>
        <v>30</v>
      </c>
      <c r="AF44" s="389">
        <f t="shared" si="6"/>
        <v>30</v>
      </c>
      <c r="AG44" s="389">
        <f t="shared" si="6"/>
        <v>30</v>
      </c>
      <c r="AH44" s="389">
        <f t="shared" si="6"/>
        <v>30</v>
      </c>
      <c r="AI44" s="389">
        <f t="shared" si="6"/>
        <v>30</v>
      </c>
      <c r="AJ44" s="389">
        <f t="shared" si="6"/>
        <v>30</v>
      </c>
      <c r="AK44" s="389">
        <f t="shared" si="6"/>
        <v>30</v>
      </c>
      <c r="AL44" s="389">
        <f t="shared" si="6"/>
        <v>30</v>
      </c>
      <c r="AM44" s="389">
        <f t="shared" si="6"/>
        <v>30</v>
      </c>
      <c r="AN44" s="389">
        <f t="shared" si="6"/>
        <v>30</v>
      </c>
      <c r="AO44" s="389">
        <f t="shared" si="6"/>
        <v>30</v>
      </c>
      <c r="AP44" s="389">
        <f t="shared" si="6"/>
        <v>30</v>
      </c>
      <c r="AQ44" s="389">
        <f t="shared" si="6"/>
        <v>30</v>
      </c>
      <c r="AR44" s="389">
        <f t="shared" si="6"/>
        <v>30</v>
      </c>
      <c r="AS44" s="389">
        <f t="shared" si="6"/>
        <v>30</v>
      </c>
      <c r="AT44" s="389">
        <f t="shared" si="6"/>
        <v>30</v>
      </c>
    </row>
    <row r="45" spans="1:48" x14ac:dyDescent="0.35">
      <c r="A45" s="8"/>
      <c r="G45" s="384"/>
      <c r="H45" s="384"/>
      <c r="I45" s="384"/>
      <c r="J45" s="384"/>
      <c r="K45" s="384"/>
      <c r="L45" s="384"/>
      <c r="M45" s="384"/>
      <c r="N45" s="384"/>
      <c r="O45" s="384"/>
      <c r="P45" s="384"/>
      <c r="Q45" s="384"/>
      <c r="R45" s="384"/>
      <c r="S45" s="384"/>
      <c r="T45" s="384"/>
      <c r="U45" s="384"/>
      <c r="V45" s="384"/>
      <c r="W45" s="384"/>
      <c r="X45" s="384"/>
      <c r="Y45" s="384"/>
      <c r="Z45" s="384"/>
      <c r="AA45" s="384"/>
      <c r="AB45" s="384"/>
      <c r="AC45" s="384"/>
      <c r="AD45" s="384"/>
      <c r="AE45" s="384"/>
      <c r="AF45" s="384"/>
      <c r="AG45" s="384"/>
      <c r="AH45" s="384"/>
      <c r="AI45" s="384"/>
      <c r="AJ45" s="384"/>
      <c r="AK45" s="384"/>
      <c r="AL45" s="384"/>
      <c r="AM45" s="384"/>
      <c r="AN45" s="384"/>
      <c r="AO45" s="384"/>
      <c r="AP45" s="384"/>
      <c r="AQ45" s="384"/>
      <c r="AR45" s="384"/>
      <c r="AS45" s="384"/>
      <c r="AT45" s="384"/>
    </row>
    <row r="46" spans="1:48" x14ac:dyDescent="0.35">
      <c r="A46" s="8"/>
      <c r="B46" t="s">
        <v>447</v>
      </c>
      <c r="G46" s="390">
        <f>G43/G41</f>
        <v>1.6377721203871695E-8</v>
      </c>
      <c r="H46" s="390">
        <f t="shared" ref="H46:AT46" si="7">H43/H41</f>
        <v>1.6377721203871695E-8</v>
      </c>
      <c r="I46" s="390">
        <f t="shared" si="7"/>
        <v>1.6377721203871695E-8</v>
      </c>
      <c r="J46" s="390">
        <f t="shared" si="7"/>
        <v>1.6377721203871695E-8</v>
      </c>
      <c r="K46" s="390">
        <f t="shared" si="7"/>
        <v>1.6377721203871695E-8</v>
      </c>
      <c r="L46" s="390">
        <f t="shared" si="7"/>
        <v>1.6377721203871695E-8</v>
      </c>
      <c r="M46" s="390">
        <f t="shared" si="7"/>
        <v>1.6377721203871695E-8</v>
      </c>
      <c r="N46" s="390">
        <f>N43/N41</f>
        <v>1.6377721203871695E-8</v>
      </c>
      <c r="O46" s="390">
        <f t="shared" si="7"/>
        <v>1.6377721203871695E-8</v>
      </c>
      <c r="P46" s="390">
        <f t="shared" si="7"/>
        <v>1.6377721203871695E-8</v>
      </c>
      <c r="Q46" s="390">
        <f t="shared" si="7"/>
        <v>1.6377721203871695E-8</v>
      </c>
      <c r="R46" s="390">
        <f t="shared" si="7"/>
        <v>1.6377721203871695E-8</v>
      </c>
      <c r="S46" s="390">
        <f t="shared" si="7"/>
        <v>1.6377721203871695E-8</v>
      </c>
      <c r="T46" s="390">
        <f t="shared" si="7"/>
        <v>1.6377721203871695E-8</v>
      </c>
      <c r="U46" s="390">
        <f t="shared" si="7"/>
        <v>1.6377721203871695E-8</v>
      </c>
      <c r="V46" s="390">
        <f t="shared" si="7"/>
        <v>1.6377721203871695E-8</v>
      </c>
      <c r="W46" s="390">
        <f t="shared" si="7"/>
        <v>1.6377721203871695E-8</v>
      </c>
      <c r="X46" s="390">
        <f t="shared" si="7"/>
        <v>1.6377721203871695E-8</v>
      </c>
      <c r="Y46" s="390">
        <f t="shared" si="7"/>
        <v>1.6377721203871695E-8</v>
      </c>
      <c r="Z46" s="390">
        <f t="shared" si="7"/>
        <v>1.6377721203871695E-8</v>
      </c>
      <c r="AA46" s="390">
        <f t="shared" si="7"/>
        <v>1.6377721203871695E-8</v>
      </c>
      <c r="AB46" s="390">
        <f t="shared" si="7"/>
        <v>1.6377721203871695E-8</v>
      </c>
      <c r="AC46" s="390">
        <f t="shared" si="7"/>
        <v>1.6377721203871695E-8</v>
      </c>
      <c r="AD46" s="390">
        <f t="shared" si="7"/>
        <v>1.6377721203871695E-8</v>
      </c>
      <c r="AE46" s="390">
        <f t="shared" si="7"/>
        <v>1.6377721203871695E-8</v>
      </c>
      <c r="AF46" s="390">
        <f t="shared" si="7"/>
        <v>1.6377721203871695E-8</v>
      </c>
      <c r="AG46" s="390">
        <f t="shared" si="7"/>
        <v>1.6377721203871695E-8</v>
      </c>
      <c r="AH46" s="390">
        <f t="shared" si="7"/>
        <v>1.6377721203871695E-8</v>
      </c>
      <c r="AI46" s="390">
        <f t="shared" si="7"/>
        <v>1.6377721203871695E-8</v>
      </c>
      <c r="AJ46" s="390">
        <f t="shared" si="7"/>
        <v>1.6377721203871695E-8</v>
      </c>
      <c r="AK46" s="390">
        <f t="shared" si="7"/>
        <v>1.6377721203871695E-8</v>
      </c>
      <c r="AL46" s="390">
        <f t="shared" si="7"/>
        <v>1.6377721203871695E-8</v>
      </c>
      <c r="AM46" s="390">
        <f t="shared" si="7"/>
        <v>1.6377721203871695E-8</v>
      </c>
      <c r="AN46" s="390">
        <f t="shared" si="7"/>
        <v>1.6377721203871695E-8</v>
      </c>
      <c r="AO46" s="390">
        <f t="shared" si="7"/>
        <v>1.6377721203871695E-8</v>
      </c>
      <c r="AP46" s="390">
        <f t="shared" si="7"/>
        <v>1.6377721203871695E-8</v>
      </c>
      <c r="AQ46" s="390">
        <f t="shared" si="7"/>
        <v>1.6377721203871695E-8</v>
      </c>
      <c r="AR46" s="390">
        <f t="shared" si="7"/>
        <v>1.6377721203871695E-8</v>
      </c>
      <c r="AS46" s="390">
        <f t="shared" si="7"/>
        <v>1.6377721203871695E-8</v>
      </c>
      <c r="AT46" s="390">
        <f t="shared" si="7"/>
        <v>1.6377721203871695E-8</v>
      </c>
    </row>
    <row r="47" spans="1:48" x14ac:dyDescent="0.35">
      <c r="A47" s="8"/>
      <c r="B47" t="s">
        <v>450</v>
      </c>
      <c r="F47" s="174"/>
      <c r="G47" s="390">
        <f>G44/G41</f>
        <v>5.4592404012905645E-8</v>
      </c>
      <c r="H47" s="390">
        <f t="shared" ref="H47:AT47" si="8">H44/H41</f>
        <v>5.4592404012905645E-8</v>
      </c>
      <c r="I47" s="390">
        <f t="shared" si="8"/>
        <v>5.4592404012905645E-8</v>
      </c>
      <c r="J47" s="390">
        <f t="shared" si="8"/>
        <v>5.4592404012905645E-8</v>
      </c>
      <c r="K47" s="390">
        <f t="shared" si="8"/>
        <v>5.4592404012905645E-8</v>
      </c>
      <c r="L47" s="390">
        <f t="shared" si="8"/>
        <v>5.4592404012905645E-8</v>
      </c>
      <c r="M47" s="390">
        <f t="shared" si="8"/>
        <v>5.4592404012905645E-8</v>
      </c>
      <c r="N47" s="390">
        <f t="shared" si="8"/>
        <v>5.4592404012905645E-8</v>
      </c>
      <c r="O47" s="390">
        <f t="shared" si="8"/>
        <v>5.4592404012905645E-8</v>
      </c>
      <c r="P47" s="390">
        <f t="shared" si="8"/>
        <v>5.4592404012905645E-8</v>
      </c>
      <c r="Q47" s="390">
        <f t="shared" si="8"/>
        <v>5.4592404012905645E-8</v>
      </c>
      <c r="R47" s="390">
        <f t="shared" si="8"/>
        <v>5.4592404012905645E-8</v>
      </c>
      <c r="S47" s="390">
        <f t="shared" si="8"/>
        <v>5.4592404012905645E-8</v>
      </c>
      <c r="T47" s="390">
        <f t="shared" si="8"/>
        <v>5.4592404012905645E-8</v>
      </c>
      <c r="U47" s="390">
        <f t="shared" si="8"/>
        <v>5.4592404012905645E-8</v>
      </c>
      <c r="V47" s="390">
        <f t="shared" si="8"/>
        <v>5.4592404012905645E-8</v>
      </c>
      <c r="W47" s="390">
        <f t="shared" si="8"/>
        <v>5.4592404012905645E-8</v>
      </c>
      <c r="X47" s="390">
        <f t="shared" si="8"/>
        <v>5.4592404012905645E-8</v>
      </c>
      <c r="Y47" s="390">
        <f t="shared" si="8"/>
        <v>5.4592404012905645E-8</v>
      </c>
      <c r="Z47" s="390">
        <f t="shared" si="8"/>
        <v>5.4592404012905645E-8</v>
      </c>
      <c r="AA47" s="390">
        <f t="shared" si="8"/>
        <v>5.4592404012905645E-8</v>
      </c>
      <c r="AB47" s="390">
        <f t="shared" si="8"/>
        <v>5.4592404012905645E-8</v>
      </c>
      <c r="AC47" s="390">
        <f t="shared" si="8"/>
        <v>5.4592404012905645E-8</v>
      </c>
      <c r="AD47" s="390">
        <f t="shared" si="8"/>
        <v>5.4592404012905645E-8</v>
      </c>
      <c r="AE47" s="390">
        <f t="shared" si="8"/>
        <v>5.4592404012905645E-8</v>
      </c>
      <c r="AF47" s="390">
        <f t="shared" si="8"/>
        <v>5.4592404012905645E-8</v>
      </c>
      <c r="AG47" s="390">
        <f t="shared" si="8"/>
        <v>5.4592404012905645E-8</v>
      </c>
      <c r="AH47" s="390">
        <f t="shared" si="8"/>
        <v>5.4592404012905645E-8</v>
      </c>
      <c r="AI47" s="390">
        <f t="shared" si="8"/>
        <v>5.4592404012905645E-8</v>
      </c>
      <c r="AJ47" s="390">
        <f t="shared" si="8"/>
        <v>5.4592404012905645E-8</v>
      </c>
      <c r="AK47" s="390">
        <f t="shared" si="8"/>
        <v>5.4592404012905645E-8</v>
      </c>
      <c r="AL47" s="390">
        <f t="shared" si="8"/>
        <v>5.4592404012905645E-8</v>
      </c>
      <c r="AM47" s="390">
        <f t="shared" si="8"/>
        <v>5.4592404012905645E-8</v>
      </c>
      <c r="AN47" s="390">
        <f t="shared" si="8"/>
        <v>5.4592404012905645E-8</v>
      </c>
      <c r="AO47" s="390">
        <f t="shared" si="8"/>
        <v>5.4592404012905645E-8</v>
      </c>
      <c r="AP47" s="390">
        <f t="shared" si="8"/>
        <v>5.4592404012905645E-8</v>
      </c>
      <c r="AQ47" s="390">
        <f t="shared" si="8"/>
        <v>5.4592404012905645E-8</v>
      </c>
      <c r="AR47" s="390">
        <f t="shared" si="8"/>
        <v>5.4592404012905645E-8</v>
      </c>
      <c r="AS47" s="390">
        <f t="shared" si="8"/>
        <v>5.4592404012905645E-8</v>
      </c>
      <c r="AT47" s="390">
        <f t="shared" si="8"/>
        <v>5.4592404012905645E-8</v>
      </c>
    </row>
    <row r="48" spans="1:48" ht="2.9" customHeight="1" thickBot="1" x14ac:dyDescent="0.4">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row>
    <row r="49" spans="1:46" hidden="1" x14ac:dyDescent="0.35">
      <c r="A49" s="371" t="s">
        <v>423</v>
      </c>
      <c r="B49" s="372"/>
    </row>
    <row r="50" spans="1:46" hidden="1" x14ac:dyDescent="0.35">
      <c r="A50" s="8"/>
    </row>
    <row r="51" spans="1:46" hidden="1" x14ac:dyDescent="0.35">
      <c r="A51" s="371" t="s">
        <v>444</v>
      </c>
      <c r="B51" s="372"/>
    </row>
    <row r="52" spans="1:46" hidden="1" x14ac:dyDescent="0.35">
      <c r="B52" t="s">
        <v>451</v>
      </c>
      <c r="D52" s="64"/>
      <c r="F52" s="165"/>
      <c r="G52" s="18">
        <f>Inputs!$D$91+G23</f>
        <v>72650000000</v>
      </c>
      <c r="H52" s="18">
        <f>Inputs!$D$91+H23</f>
        <v>72650000000</v>
      </c>
      <c r="I52" s="18">
        <f>Inputs!$D$91+I23</f>
        <v>72650000000</v>
      </c>
      <c r="J52" s="18">
        <f>Inputs!$D$91+J23</f>
        <v>72650000000</v>
      </c>
      <c r="K52" s="18">
        <f>Inputs!$D$91+K23</f>
        <v>72650000000</v>
      </c>
      <c r="L52" s="18">
        <f>Inputs!$D$91+L23</f>
        <v>72650000000</v>
      </c>
      <c r="M52" s="18">
        <f>Inputs!$D$91+M23</f>
        <v>72650000000</v>
      </c>
      <c r="N52" s="18">
        <f>Inputs!$D$91+N23</f>
        <v>72650000000</v>
      </c>
      <c r="O52" s="18">
        <f>Inputs!$D$91+O23</f>
        <v>72650000000</v>
      </c>
      <c r="P52" s="18">
        <f>Inputs!$D$91+P23</f>
        <v>72648780972.7995</v>
      </c>
      <c r="Q52" s="18">
        <f>Inputs!$D$91+Q23</f>
        <v>72647561945.598984</v>
      </c>
      <c r="R52" s="18">
        <f>Inputs!$D$91+R23</f>
        <v>72646342918.398483</v>
      </c>
      <c r="S52" s="18">
        <f>Inputs!$D$91+S23</f>
        <v>72645123891.197983</v>
      </c>
      <c r="T52" s="18">
        <f>Inputs!$D$91+T23</f>
        <v>72643904863.997467</v>
      </c>
      <c r="U52" s="18">
        <f>Inputs!$D$91+U23</f>
        <v>72640530955.84285</v>
      </c>
      <c r="V52" s="18">
        <f>Inputs!$D$91+V23</f>
        <v>72640228256.650589</v>
      </c>
      <c r="W52" s="18">
        <f>Inputs!$D$91+W23</f>
        <v>72639915881.001068</v>
      </c>
      <c r="X52" s="18">
        <f>Inputs!$D$91+X23</f>
        <v>72639593519.564682</v>
      </c>
      <c r="Y52" s="18">
        <f>Inputs!$D$91+Y23</f>
        <v>72639260853.123398</v>
      </c>
      <c r="Z52" s="18">
        <f>Inputs!$D$91+Z23</f>
        <v>72638917552.254669</v>
      </c>
      <c r="AA52" s="18">
        <f>Inputs!$D$91+AA23</f>
        <v>72638563277.005219</v>
      </c>
      <c r="AB52" s="18">
        <f>Inputs!$D$91+AB23</f>
        <v>72638197676.554398</v>
      </c>
      <c r="AC52" s="18">
        <f>Inputs!$D$91+AC23</f>
        <v>72637820388.866806</v>
      </c>
      <c r="AD52" s="18">
        <f>Inputs!$D$91+AD23</f>
        <v>72637431040.33374</v>
      </c>
      <c r="AE52" s="18">
        <f>Inputs!$D$91+AE23</f>
        <v>72637029245.403275</v>
      </c>
      <c r="AF52" s="18">
        <f>Inputs!$D$91+AF23</f>
        <v>72636614606.198486</v>
      </c>
      <c r="AG52" s="18">
        <f>Inputs!$D$91+AG23</f>
        <v>72636186712.123367</v>
      </c>
      <c r="AH52" s="18">
        <f>Inputs!$D$91+AH23</f>
        <v>72635745139.456329</v>
      </c>
      <c r="AI52" s="18">
        <f>Inputs!$D$91+AI23</f>
        <v>72635289450.930557</v>
      </c>
      <c r="AJ52" s="18">
        <f>Inputs!$D$91+AJ23</f>
        <v>72650000000</v>
      </c>
      <c r="AK52" s="18">
        <f>Inputs!$D$91+AK23</f>
        <v>72650000000</v>
      </c>
      <c r="AL52" s="18">
        <f>Inputs!$D$91+AL23</f>
        <v>72650000000</v>
      </c>
      <c r="AM52" s="18">
        <f>Inputs!$D$91+AM23</f>
        <v>72650000000</v>
      </c>
      <c r="AN52" s="18">
        <f>Inputs!$D$91+AN23</f>
        <v>72650000000</v>
      </c>
      <c r="AO52" s="18">
        <f>Inputs!$D$91+AO23</f>
        <v>72650000000</v>
      </c>
      <c r="AP52" s="18">
        <f>Inputs!$D$91+AP23</f>
        <v>72650000000</v>
      </c>
      <c r="AQ52" s="18">
        <f>Inputs!$D$91+AQ23</f>
        <v>72650000000</v>
      </c>
      <c r="AR52" s="18">
        <f>Inputs!$D$91+AR23</f>
        <v>72650000000</v>
      </c>
      <c r="AS52" s="18">
        <f>Inputs!$D$91+AS23</f>
        <v>72650000000</v>
      </c>
      <c r="AT52" s="18">
        <f>Inputs!$D$91+AT23</f>
        <v>72650000000</v>
      </c>
    </row>
    <row r="53" spans="1:46" hidden="1" x14ac:dyDescent="0.35"/>
    <row r="54" spans="1:46" hidden="1" x14ac:dyDescent="0.35">
      <c r="B54" t="s">
        <v>203</v>
      </c>
      <c r="D54" s="64"/>
      <c r="F54" s="165"/>
      <c r="G54" s="18">
        <f t="shared" ref="G54:AT54" si="9">G52*G37</f>
        <v>969</v>
      </c>
      <c r="H54" s="18">
        <f t="shared" si="9"/>
        <v>969</v>
      </c>
      <c r="I54" s="18">
        <f t="shared" si="9"/>
        <v>969</v>
      </c>
      <c r="J54" s="18">
        <f t="shared" si="9"/>
        <v>968.99999999999989</v>
      </c>
      <c r="K54" s="18">
        <f t="shared" si="9"/>
        <v>968.99999999999989</v>
      </c>
      <c r="L54" s="18">
        <f t="shared" si="9"/>
        <v>969.00000000000011</v>
      </c>
      <c r="M54" s="18">
        <f t="shared" si="9"/>
        <v>969</v>
      </c>
      <c r="N54" s="18">
        <f t="shared" si="9"/>
        <v>969.00000000000011</v>
      </c>
      <c r="O54" s="18">
        <f t="shared" si="9"/>
        <v>968.99999999999989</v>
      </c>
      <c r="P54" s="18">
        <f t="shared" si="9"/>
        <v>968.98374071084254</v>
      </c>
      <c r="Q54" s="18">
        <f t="shared" si="9"/>
        <v>968.96748142168497</v>
      </c>
      <c r="R54" s="18">
        <f t="shared" si="9"/>
        <v>968.95122213252773</v>
      </c>
      <c r="S54" s="18">
        <f t="shared" si="9"/>
        <v>968.93496284337027</v>
      </c>
      <c r="T54" s="18">
        <f t="shared" si="9"/>
        <v>968.91870355421258</v>
      </c>
      <c r="U54" s="18">
        <f t="shared" si="9"/>
        <v>968.87370263195771</v>
      </c>
      <c r="V54" s="18">
        <f t="shared" si="9"/>
        <v>968.8696652538805</v>
      </c>
      <c r="W54" s="18">
        <f t="shared" si="9"/>
        <v>968.86549881197584</v>
      </c>
      <c r="X54" s="18">
        <f t="shared" si="9"/>
        <v>968.86119918042914</v>
      </c>
      <c r="Y54" s="18">
        <f t="shared" si="9"/>
        <v>968.85676210153576</v>
      </c>
      <c r="Z54" s="18">
        <f t="shared" si="9"/>
        <v>968.8521831814835</v>
      </c>
      <c r="AA54" s="18">
        <f t="shared" si="9"/>
        <v>968.84745788600219</v>
      </c>
      <c r="AB54" s="18">
        <f t="shared" si="9"/>
        <v>968.84258153587348</v>
      </c>
      <c r="AC54" s="18">
        <f t="shared" si="9"/>
        <v>968.83754930229782</v>
      </c>
      <c r="AD54" s="18">
        <f t="shared" si="9"/>
        <v>968.83235620211144</v>
      </c>
      <c r="AE54" s="18">
        <f t="shared" si="9"/>
        <v>968.82699709285305</v>
      </c>
      <c r="AF54" s="18">
        <f t="shared" si="9"/>
        <v>968.82146666767153</v>
      </c>
      <c r="AG54" s="18">
        <f t="shared" si="9"/>
        <v>968.81575945006944</v>
      </c>
      <c r="AH54" s="18">
        <f t="shared" si="9"/>
        <v>968.80986978848159</v>
      </c>
      <c r="AI54" s="18">
        <f t="shared" si="9"/>
        <v>968.80379185067727</v>
      </c>
      <c r="AJ54" s="18">
        <f t="shared" si="9"/>
        <v>969</v>
      </c>
      <c r="AK54" s="18">
        <f t="shared" si="9"/>
        <v>969.00000000000011</v>
      </c>
      <c r="AL54" s="18">
        <f t="shared" si="9"/>
        <v>969</v>
      </c>
      <c r="AM54" s="18">
        <f t="shared" si="9"/>
        <v>969</v>
      </c>
      <c r="AN54" s="18">
        <f t="shared" si="9"/>
        <v>969</v>
      </c>
      <c r="AO54" s="18">
        <f t="shared" si="9"/>
        <v>969</v>
      </c>
      <c r="AP54" s="18">
        <f t="shared" si="9"/>
        <v>969</v>
      </c>
      <c r="AQ54" s="18">
        <f t="shared" si="9"/>
        <v>969</v>
      </c>
      <c r="AR54" s="18">
        <f t="shared" si="9"/>
        <v>969</v>
      </c>
      <c r="AS54" s="18">
        <f t="shared" si="9"/>
        <v>969</v>
      </c>
      <c r="AT54" s="18">
        <f t="shared" si="9"/>
        <v>969</v>
      </c>
    </row>
    <row r="55" spans="1:46" hidden="1" x14ac:dyDescent="0.35">
      <c r="B55" t="s">
        <v>210</v>
      </c>
      <c r="D55" s="64"/>
      <c r="F55" s="165"/>
      <c r="G55" s="18">
        <f t="shared" ref="G55:AT55" si="10">G52*G38</f>
        <v>4655</v>
      </c>
      <c r="H55" s="18">
        <f t="shared" si="10"/>
        <v>4655</v>
      </c>
      <c r="I55" s="18">
        <f t="shared" si="10"/>
        <v>4654.9999999999991</v>
      </c>
      <c r="J55" s="18">
        <f t="shared" si="10"/>
        <v>4655</v>
      </c>
      <c r="K55" s="18">
        <f t="shared" si="10"/>
        <v>4655</v>
      </c>
      <c r="L55" s="18">
        <f t="shared" si="10"/>
        <v>4655</v>
      </c>
      <c r="M55" s="18">
        <f t="shared" si="10"/>
        <v>4654.9999999999991</v>
      </c>
      <c r="N55" s="18">
        <f t="shared" si="10"/>
        <v>4655</v>
      </c>
      <c r="O55" s="18">
        <f t="shared" si="10"/>
        <v>4654.9999999999991</v>
      </c>
      <c r="P55" s="18">
        <f t="shared" si="10"/>
        <v>4654.9218916501268</v>
      </c>
      <c r="Q55" s="18">
        <f t="shared" si="10"/>
        <v>4654.8437833002508</v>
      </c>
      <c r="R55" s="18">
        <f t="shared" si="10"/>
        <v>4654.7656749503776</v>
      </c>
      <c r="S55" s="18">
        <f t="shared" si="10"/>
        <v>4654.6875666005044</v>
      </c>
      <c r="T55" s="18">
        <f t="shared" si="10"/>
        <v>4654.6094582506284</v>
      </c>
      <c r="U55" s="18">
        <f t="shared" si="10"/>
        <v>4654.3932773496008</v>
      </c>
      <c r="V55" s="18">
        <f t="shared" si="10"/>
        <v>4654.3738821019742</v>
      </c>
      <c r="W55" s="18">
        <f t="shared" si="10"/>
        <v>4654.3538668418441</v>
      </c>
      <c r="X55" s="18">
        <f t="shared" si="10"/>
        <v>4654.33321174912</v>
      </c>
      <c r="Y55" s="18">
        <f t="shared" si="10"/>
        <v>4654.3118963701227</v>
      </c>
      <c r="Z55" s="18">
        <f t="shared" si="10"/>
        <v>4654.2898995973228</v>
      </c>
      <c r="AA55" s="18">
        <f t="shared" si="10"/>
        <v>4654.2671996484423</v>
      </c>
      <c r="AB55" s="18">
        <f t="shared" si="10"/>
        <v>4654.2437740448831</v>
      </c>
      <c r="AC55" s="18">
        <f t="shared" si="10"/>
        <v>4654.2195995894699</v>
      </c>
      <c r="AD55" s="18">
        <f t="shared" si="10"/>
        <v>4654.1946523434763</v>
      </c>
      <c r="AE55" s="18">
        <f t="shared" si="10"/>
        <v>4654.1689076029206</v>
      </c>
      <c r="AF55" s="18">
        <f t="shared" si="10"/>
        <v>4654.1423398741081</v>
      </c>
      <c r="AG55" s="18">
        <f t="shared" si="10"/>
        <v>4654.1149228483728</v>
      </c>
      <c r="AH55" s="18">
        <f t="shared" si="10"/>
        <v>4654.0866293760382</v>
      </c>
      <c r="AI55" s="18">
        <f t="shared" si="10"/>
        <v>4654.057431439528</v>
      </c>
      <c r="AJ55" s="18">
        <f t="shared" si="10"/>
        <v>4655</v>
      </c>
      <c r="AK55" s="18">
        <f t="shared" si="10"/>
        <v>4655</v>
      </c>
      <c r="AL55" s="18">
        <f t="shared" si="10"/>
        <v>4655</v>
      </c>
      <c r="AM55" s="18">
        <f t="shared" si="10"/>
        <v>4655</v>
      </c>
      <c r="AN55" s="18">
        <f t="shared" si="10"/>
        <v>4655</v>
      </c>
      <c r="AO55" s="18">
        <f t="shared" si="10"/>
        <v>4655</v>
      </c>
      <c r="AP55" s="18">
        <f t="shared" si="10"/>
        <v>4655</v>
      </c>
      <c r="AQ55" s="18">
        <f t="shared" si="10"/>
        <v>4655</v>
      </c>
      <c r="AR55" s="18">
        <f t="shared" si="10"/>
        <v>4655</v>
      </c>
      <c r="AS55" s="18">
        <f t="shared" si="10"/>
        <v>4655</v>
      </c>
      <c r="AT55" s="18">
        <f t="shared" si="10"/>
        <v>4654.9999999999991</v>
      </c>
    </row>
    <row r="56" spans="1:46" hidden="1" x14ac:dyDescent="0.35">
      <c r="D56" s="64"/>
      <c r="F56" s="165"/>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row>
    <row r="57" spans="1:46" hidden="1" x14ac:dyDescent="0.35">
      <c r="B57" t="s">
        <v>447</v>
      </c>
      <c r="D57" s="64"/>
      <c r="F57" s="165"/>
      <c r="G57" s="388">
        <f>G54/G52</f>
        <v>1.3337921541637991E-8</v>
      </c>
      <c r="H57" s="388">
        <f t="shared" ref="H57:AT57" si="11">H54/H52</f>
        <v>1.3337921541637991E-8</v>
      </c>
      <c r="I57" s="388">
        <f t="shared" si="11"/>
        <v>1.3337921541637991E-8</v>
      </c>
      <c r="J57" s="388">
        <f t="shared" si="11"/>
        <v>1.3337921541637989E-8</v>
      </c>
      <c r="K57" s="388">
        <f t="shared" si="11"/>
        <v>1.3337921541637989E-8</v>
      </c>
      <c r="L57" s="388">
        <f t="shared" si="11"/>
        <v>1.3337921541637992E-8</v>
      </c>
      <c r="M57" s="388">
        <f t="shared" si="11"/>
        <v>1.3337921541637991E-8</v>
      </c>
      <c r="N57" s="388">
        <f>N54/N52</f>
        <v>1.3337921541637992E-8</v>
      </c>
      <c r="O57" s="388">
        <f t="shared" si="11"/>
        <v>1.3337921541637989E-8</v>
      </c>
      <c r="P57" s="388">
        <f t="shared" si="11"/>
        <v>1.3337921541637989E-8</v>
      </c>
      <c r="Q57" s="388">
        <f t="shared" si="11"/>
        <v>1.3337921541637991E-8</v>
      </c>
      <c r="R57" s="388">
        <f t="shared" si="11"/>
        <v>1.3337921541637992E-8</v>
      </c>
      <c r="S57" s="388">
        <f t="shared" si="11"/>
        <v>1.3337921541637991E-8</v>
      </c>
      <c r="T57" s="388">
        <f t="shared" si="11"/>
        <v>1.3337921541637991E-8</v>
      </c>
      <c r="U57" s="388">
        <f t="shared" si="11"/>
        <v>1.3337921541637992E-8</v>
      </c>
      <c r="V57" s="388">
        <f t="shared" si="11"/>
        <v>1.3337921541637991E-8</v>
      </c>
      <c r="W57" s="388">
        <f t="shared" si="11"/>
        <v>1.3337921541637992E-8</v>
      </c>
      <c r="X57" s="388">
        <f t="shared" si="11"/>
        <v>1.3337921541637991E-8</v>
      </c>
      <c r="Y57" s="388">
        <f t="shared" si="11"/>
        <v>1.3337921541637991E-8</v>
      </c>
      <c r="Z57" s="388">
        <f t="shared" si="11"/>
        <v>1.3337921541637991E-8</v>
      </c>
      <c r="AA57" s="388">
        <f t="shared" si="11"/>
        <v>1.3337921541637991E-8</v>
      </c>
      <c r="AB57" s="388">
        <f t="shared" si="11"/>
        <v>1.3337921541637991E-8</v>
      </c>
      <c r="AC57" s="388">
        <f t="shared" si="11"/>
        <v>1.3337921541637991E-8</v>
      </c>
      <c r="AD57" s="388">
        <f t="shared" si="11"/>
        <v>1.3337921541637991E-8</v>
      </c>
      <c r="AE57" s="388">
        <f t="shared" si="11"/>
        <v>1.3337921541637991E-8</v>
      </c>
      <c r="AF57" s="388">
        <f t="shared" si="11"/>
        <v>1.3337921541637991E-8</v>
      </c>
      <c r="AG57" s="388">
        <f t="shared" si="11"/>
        <v>1.3337921541637991E-8</v>
      </c>
      <c r="AH57" s="388">
        <f t="shared" si="11"/>
        <v>1.3337921541637991E-8</v>
      </c>
      <c r="AI57" s="388">
        <f t="shared" si="11"/>
        <v>1.3337921541637989E-8</v>
      </c>
      <c r="AJ57" s="388">
        <f t="shared" si="11"/>
        <v>1.3337921541637991E-8</v>
      </c>
      <c r="AK57" s="388">
        <f t="shared" si="11"/>
        <v>1.3337921541637992E-8</v>
      </c>
      <c r="AL57" s="388">
        <f t="shared" si="11"/>
        <v>1.3337921541637991E-8</v>
      </c>
      <c r="AM57" s="388">
        <f t="shared" si="11"/>
        <v>1.3337921541637991E-8</v>
      </c>
      <c r="AN57" s="388">
        <f t="shared" si="11"/>
        <v>1.3337921541637991E-8</v>
      </c>
      <c r="AO57" s="388">
        <f t="shared" si="11"/>
        <v>1.3337921541637991E-8</v>
      </c>
      <c r="AP57" s="388">
        <f t="shared" si="11"/>
        <v>1.3337921541637991E-8</v>
      </c>
      <c r="AQ57" s="388">
        <f t="shared" si="11"/>
        <v>1.3337921541637991E-8</v>
      </c>
      <c r="AR57" s="388">
        <f t="shared" si="11"/>
        <v>1.3337921541637991E-8</v>
      </c>
      <c r="AS57" s="388">
        <f t="shared" si="11"/>
        <v>1.3337921541637991E-8</v>
      </c>
      <c r="AT57" s="388">
        <f t="shared" si="11"/>
        <v>1.3337921541637991E-8</v>
      </c>
    </row>
    <row r="58" spans="1:46" hidden="1" x14ac:dyDescent="0.35">
      <c r="B58" t="s">
        <v>448</v>
      </c>
      <c r="D58" s="64"/>
      <c r="F58" s="165"/>
      <c r="G58" s="388">
        <f>G55/G52</f>
        <v>6.4074328974535448E-8</v>
      </c>
      <c r="H58" s="388">
        <f t="shared" ref="H58:AT58" si="12">H55/H52</f>
        <v>6.4074328974535448E-8</v>
      </c>
      <c r="I58" s="388">
        <f t="shared" si="12"/>
        <v>6.4074328974535434E-8</v>
      </c>
      <c r="J58" s="388">
        <f t="shared" si="12"/>
        <v>6.4074328974535448E-8</v>
      </c>
      <c r="K58" s="388">
        <f t="shared" si="12"/>
        <v>6.4074328974535448E-8</v>
      </c>
      <c r="L58" s="388">
        <f t="shared" si="12"/>
        <v>6.4074328974535448E-8</v>
      </c>
      <c r="M58" s="388">
        <f t="shared" si="12"/>
        <v>6.4074328974535434E-8</v>
      </c>
      <c r="N58" s="388">
        <f t="shared" si="12"/>
        <v>6.4074328974535448E-8</v>
      </c>
      <c r="O58" s="388">
        <f t="shared" si="12"/>
        <v>6.4074328974535434E-8</v>
      </c>
      <c r="P58" s="388">
        <f t="shared" si="12"/>
        <v>6.4074328974535448E-8</v>
      </c>
      <c r="Q58" s="388">
        <f t="shared" si="12"/>
        <v>6.4074328974535434E-8</v>
      </c>
      <c r="R58" s="388">
        <f t="shared" si="12"/>
        <v>6.4074328974535448E-8</v>
      </c>
      <c r="S58" s="388">
        <f t="shared" si="12"/>
        <v>6.4074328974535448E-8</v>
      </c>
      <c r="T58" s="388">
        <f t="shared" si="12"/>
        <v>6.4074328974535434E-8</v>
      </c>
      <c r="U58" s="388">
        <f t="shared" si="12"/>
        <v>6.4074328974535448E-8</v>
      </c>
      <c r="V58" s="388">
        <f t="shared" si="12"/>
        <v>6.4074328974535434E-8</v>
      </c>
      <c r="W58" s="388">
        <f t="shared" si="12"/>
        <v>6.4074328974535448E-8</v>
      </c>
      <c r="X58" s="388">
        <f t="shared" si="12"/>
        <v>6.4074328974535434E-8</v>
      </c>
      <c r="Y58" s="388">
        <f t="shared" si="12"/>
        <v>6.4074328974535448E-8</v>
      </c>
      <c r="Z58" s="388">
        <f t="shared" si="12"/>
        <v>6.4074328974535448E-8</v>
      </c>
      <c r="AA58" s="388">
        <f t="shared" si="12"/>
        <v>6.4074328974535448E-8</v>
      </c>
      <c r="AB58" s="388">
        <f t="shared" si="12"/>
        <v>6.4074328974535448E-8</v>
      </c>
      <c r="AC58" s="388">
        <f t="shared" si="12"/>
        <v>6.4074328974535448E-8</v>
      </c>
      <c r="AD58" s="388">
        <f t="shared" si="12"/>
        <v>6.4074328974535448E-8</v>
      </c>
      <c r="AE58" s="388">
        <f t="shared" si="12"/>
        <v>6.4074328974535434E-8</v>
      </c>
      <c r="AF58" s="388">
        <f t="shared" si="12"/>
        <v>6.4074328974535448E-8</v>
      </c>
      <c r="AG58" s="388">
        <f t="shared" si="12"/>
        <v>6.4074328974535448E-8</v>
      </c>
      <c r="AH58" s="388">
        <f t="shared" si="12"/>
        <v>6.4074328974535434E-8</v>
      </c>
      <c r="AI58" s="388">
        <f t="shared" si="12"/>
        <v>6.4074328974535434E-8</v>
      </c>
      <c r="AJ58" s="388">
        <f t="shared" si="12"/>
        <v>6.4074328974535448E-8</v>
      </c>
      <c r="AK58" s="388">
        <f t="shared" si="12"/>
        <v>6.4074328974535448E-8</v>
      </c>
      <c r="AL58" s="388">
        <f t="shared" si="12"/>
        <v>6.4074328974535448E-8</v>
      </c>
      <c r="AM58" s="388">
        <f t="shared" si="12"/>
        <v>6.4074328974535448E-8</v>
      </c>
      <c r="AN58" s="388">
        <f t="shared" si="12"/>
        <v>6.4074328974535448E-8</v>
      </c>
      <c r="AO58" s="388">
        <f t="shared" si="12"/>
        <v>6.4074328974535448E-8</v>
      </c>
      <c r="AP58" s="388">
        <f t="shared" si="12"/>
        <v>6.4074328974535448E-8</v>
      </c>
      <c r="AQ58" s="388">
        <f t="shared" si="12"/>
        <v>6.4074328974535448E-8</v>
      </c>
      <c r="AR58" s="388">
        <f t="shared" si="12"/>
        <v>6.4074328974535448E-8</v>
      </c>
      <c r="AS58" s="388">
        <f t="shared" si="12"/>
        <v>6.4074328974535448E-8</v>
      </c>
      <c r="AT58" s="388">
        <f t="shared" si="12"/>
        <v>6.4074328974535434E-8</v>
      </c>
    </row>
    <row r="59" spans="1:46" hidden="1" x14ac:dyDescent="0.35">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c r="AJ59" s="384"/>
      <c r="AK59" s="384"/>
      <c r="AL59" s="384"/>
      <c r="AM59" s="384"/>
      <c r="AN59" s="384"/>
      <c r="AO59" s="384"/>
      <c r="AP59" s="384"/>
      <c r="AQ59" s="384"/>
      <c r="AR59" s="384"/>
      <c r="AS59" s="384"/>
      <c r="AT59" s="384"/>
    </row>
    <row r="60" spans="1:46" hidden="1" x14ac:dyDescent="0.35">
      <c r="A60" s="371"/>
      <c r="B60" s="371" t="s">
        <v>129</v>
      </c>
      <c r="G60" s="384"/>
      <c r="H60" s="384"/>
      <c r="I60" s="384"/>
      <c r="J60" s="384"/>
      <c r="K60" s="384"/>
      <c r="L60" s="384"/>
      <c r="M60" s="384"/>
      <c r="N60" s="384"/>
      <c r="O60" s="384"/>
      <c r="P60" s="384"/>
      <c r="Q60" s="384"/>
      <c r="R60" s="384"/>
      <c r="S60" s="384"/>
      <c r="T60" s="384"/>
      <c r="U60" s="384"/>
      <c r="V60" s="384"/>
      <c r="W60" s="384"/>
      <c r="X60" s="384"/>
      <c r="Y60" s="384"/>
      <c r="Z60" s="384"/>
      <c r="AA60" s="384"/>
      <c r="AB60" s="384"/>
      <c r="AC60" s="384"/>
      <c r="AD60" s="384"/>
      <c r="AE60" s="384"/>
      <c r="AF60" s="384"/>
      <c r="AG60" s="384"/>
      <c r="AH60" s="384"/>
      <c r="AI60" s="384"/>
      <c r="AJ60" s="384"/>
      <c r="AK60" s="384"/>
      <c r="AL60" s="384"/>
      <c r="AM60" s="384"/>
      <c r="AN60" s="384"/>
      <c r="AO60" s="384"/>
      <c r="AP60" s="384"/>
      <c r="AQ60" s="384"/>
      <c r="AR60" s="384"/>
      <c r="AS60" s="384"/>
      <c r="AT60" s="384"/>
    </row>
    <row r="61" spans="1:46" hidden="1" x14ac:dyDescent="0.35">
      <c r="B61" t="s">
        <v>449</v>
      </c>
      <c r="D61" s="64"/>
      <c r="F61" s="165"/>
      <c r="G61" s="18">
        <f>Inputs!$D$99+G26</f>
        <v>549527000</v>
      </c>
      <c r="H61" s="18">
        <f>Inputs!$D$99+H26</f>
        <v>549527000</v>
      </c>
      <c r="I61" s="18">
        <f>Inputs!$D$99+I26</f>
        <v>549527000</v>
      </c>
      <c r="J61" s="18">
        <f>Inputs!$D$99+J26</f>
        <v>549527000</v>
      </c>
      <c r="K61" s="18">
        <f>Inputs!$D$99+K26</f>
        <v>549527000</v>
      </c>
      <c r="L61" s="18">
        <f>Inputs!$D$99+L26</f>
        <v>549527000</v>
      </c>
      <c r="M61" s="18">
        <f>Inputs!$D$99+M26</f>
        <v>549527000</v>
      </c>
      <c r="N61" s="18">
        <f>Inputs!$D$99+N26</f>
        <v>549527000</v>
      </c>
      <c r="O61" s="18">
        <f>Inputs!$D$99+O26</f>
        <v>549527000</v>
      </c>
      <c r="P61" s="18">
        <f>Inputs!$D$99+P26</f>
        <v>549536434.30994761</v>
      </c>
      <c r="Q61" s="18">
        <f>Inputs!$D$99+Q26</f>
        <v>549545868.61989522</v>
      </c>
      <c r="R61" s="18">
        <f>Inputs!$D$99+R26</f>
        <v>549555302.92984283</v>
      </c>
      <c r="S61" s="18">
        <f>Inputs!$D$99+S26</f>
        <v>549564737.23979056</v>
      </c>
      <c r="T61" s="18">
        <f>Inputs!$D$99+T26</f>
        <v>549574171.54973817</v>
      </c>
      <c r="U61" s="18">
        <f>Inputs!$D$99+U26</f>
        <v>549600282.94024062</v>
      </c>
      <c r="V61" s="18">
        <f>Inputs!$D$99+V26</f>
        <v>549602625.59346402</v>
      </c>
      <c r="W61" s="18">
        <f>Inputs!$D$99+W26</f>
        <v>549605043.13484168</v>
      </c>
      <c r="X61" s="18">
        <f>Inputs!$D$99+X26</f>
        <v>549607537.95834088</v>
      </c>
      <c r="Y61" s="18">
        <f>Inputs!$D$99+Y26</f>
        <v>549610112.53445768</v>
      </c>
      <c r="Z61" s="18">
        <f>Inputs!$D$99+Z26</f>
        <v>549612769.41266322</v>
      </c>
      <c r="AA61" s="18">
        <f>Inputs!$D$99+AA26</f>
        <v>549615511.22392774</v>
      </c>
      <c r="AB61" s="18">
        <f>Inputs!$D$99+AB26</f>
        <v>549618340.6833266</v>
      </c>
      <c r="AC61" s="18">
        <f>Inputs!$D$99+AC26</f>
        <v>549621260.59272873</v>
      </c>
      <c r="AD61" s="18">
        <f>Inputs!$D$99+AD26</f>
        <v>549624273.84357095</v>
      </c>
      <c r="AE61" s="18">
        <f>Inputs!$D$99+AE26</f>
        <v>549627383.41972136</v>
      </c>
      <c r="AF61" s="18">
        <f>Inputs!$D$99+AF26</f>
        <v>549630592.4004339</v>
      </c>
      <c r="AG61" s="18">
        <f>Inputs!$D$99+AG26</f>
        <v>549633903.96339798</v>
      </c>
      <c r="AH61" s="18">
        <f>Inputs!$D$99+AH26</f>
        <v>549637321.38788486</v>
      </c>
      <c r="AI61" s="18">
        <f>Inputs!$D$99+AI26</f>
        <v>549640848.0579952</v>
      </c>
      <c r="AJ61" s="18">
        <f>Inputs!$D$99+AJ26</f>
        <v>549527000</v>
      </c>
      <c r="AK61" s="18">
        <f>Inputs!$D$99+AK26</f>
        <v>549527000</v>
      </c>
      <c r="AL61" s="18">
        <f>Inputs!$D$99+AL26</f>
        <v>549527000</v>
      </c>
      <c r="AM61" s="18">
        <f>Inputs!$D$99+AM26</f>
        <v>549527000</v>
      </c>
      <c r="AN61" s="18">
        <f>Inputs!$D$99+AN26</f>
        <v>549527000</v>
      </c>
      <c r="AO61" s="18">
        <f>Inputs!$D$99+AO26</f>
        <v>549527000</v>
      </c>
      <c r="AP61" s="18">
        <f>Inputs!$D$99+AP26</f>
        <v>549527000</v>
      </c>
      <c r="AQ61" s="18">
        <f>Inputs!$D$99+AQ26</f>
        <v>549527000</v>
      </c>
      <c r="AR61" s="18">
        <f>Inputs!$D$99+AR26</f>
        <v>549527000</v>
      </c>
      <c r="AS61" s="18">
        <f>Inputs!$D$99+AS26</f>
        <v>549527000</v>
      </c>
      <c r="AT61" s="18">
        <f>Inputs!$D$99+AT26</f>
        <v>549527000</v>
      </c>
    </row>
    <row r="62" spans="1:46" hidden="1" x14ac:dyDescent="0.35">
      <c r="A62" s="8"/>
      <c r="G62" s="384"/>
      <c r="H62" s="384"/>
      <c r="I62" s="384"/>
      <c r="J62" s="384"/>
      <c r="K62" s="384"/>
      <c r="L62" s="384"/>
      <c r="M62" s="384"/>
      <c r="N62" s="384"/>
      <c r="O62" s="384"/>
      <c r="P62" s="384"/>
      <c r="Q62" s="384"/>
      <c r="R62" s="384"/>
      <c r="S62" s="384"/>
      <c r="T62" s="384"/>
      <c r="U62" s="384"/>
      <c r="V62" s="384"/>
      <c r="W62" s="384"/>
      <c r="X62" s="384"/>
      <c r="Y62" s="384"/>
      <c r="Z62" s="384"/>
      <c r="AA62" s="384"/>
      <c r="AB62" s="384"/>
      <c r="AC62" s="384"/>
      <c r="AD62" s="384"/>
      <c r="AE62" s="384"/>
      <c r="AF62" s="384"/>
      <c r="AG62" s="384"/>
      <c r="AH62" s="384"/>
      <c r="AI62" s="384"/>
      <c r="AJ62" s="384"/>
      <c r="AK62" s="384"/>
      <c r="AL62" s="384"/>
      <c r="AM62" s="384"/>
      <c r="AN62" s="384"/>
      <c r="AO62" s="384"/>
      <c r="AP62" s="384"/>
      <c r="AQ62" s="384"/>
      <c r="AR62" s="384"/>
      <c r="AS62" s="384"/>
      <c r="AT62" s="384"/>
    </row>
    <row r="63" spans="1:46" hidden="1" x14ac:dyDescent="0.35">
      <c r="A63" s="8"/>
      <c r="B63" t="s">
        <v>207</v>
      </c>
      <c r="G63" s="389">
        <f>$H$8</f>
        <v>9</v>
      </c>
      <c r="H63" s="389">
        <f t="shared" ref="H63:AT63" si="13">$H$8</f>
        <v>9</v>
      </c>
      <c r="I63" s="389">
        <f t="shared" si="13"/>
        <v>9</v>
      </c>
      <c r="J63" s="389">
        <f t="shared" si="13"/>
        <v>9</v>
      </c>
      <c r="K63" s="389">
        <f t="shared" si="13"/>
        <v>9</v>
      </c>
      <c r="L63" s="389">
        <f t="shared" si="13"/>
        <v>9</v>
      </c>
      <c r="M63" s="389">
        <f t="shared" si="13"/>
        <v>9</v>
      </c>
      <c r="N63" s="389">
        <f t="shared" si="13"/>
        <v>9</v>
      </c>
      <c r="O63" s="389">
        <f t="shared" si="13"/>
        <v>9</v>
      </c>
      <c r="P63" s="389">
        <f t="shared" si="13"/>
        <v>9</v>
      </c>
      <c r="Q63" s="389">
        <f t="shared" si="13"/>
        <v>9</v>
      </c>
      <c r="R63" s="389">
        <f t="shared" si="13"/>
        <v>9</v>
      </c>
      <c r="S63" s="389">
        <f t="shared" si="13"/>
        <v>9</v>
      </c>
      <c r="T63" s="389">
        <f t="shared" si="13"/>
        <v>9</v>
      </c>
      <c r="U63" s="389">
        <f t="shared" si="13"/>
        <v>9</v>
      </c>
      <c r="V63" s="389">
        <f t="shared" si="13"/>
        <v>9</v>
      </c>
      <c r="W63" s="389">
        <f t="shared" si="13"/>
        <v>9</v>
      </c>
      <c r="X63" s="389">
        <f t="shared" si="13"/>
        <v>9</v>
      </c>
      <c r="Y63" s="389">
        <f t="shared" si="13"/>
        <v>9</v>
      </c>
      <c r="Z63" s="389">
        <f t="shared" si="13"/>
        <v>9</v>
      </c>
      <c r="AA63" s="389">
        <f t="shared" si="13"/>
        <v>9</v>
      </c>
      <c r="AB63" s="389">
        <f t="shared" si="13"/>
        <v>9</v>
      </c>
      <c r="AC63" s="389">
        <f t="shared" si="13"/>
        <v>9</v>
      </c>
      <c r="AD63" s="389">
        <f t="shared" si="13"/>
        <v>9</v>
      </c>
      <c r="AE63" s="389">
        <f t="shared" si="13"/>
        <v>9</v>
      </c>
      <c r="AF63" s="389">
        <f t="shared" si="13"/>
        <v>9</v>
      </c>
      <c r="AG63" s="389">
        <f t="shared" si="13"/>
        <v>9</v>
      </c>
      <c r="AH63" s="389">
        <f t="shared" si="13"/>
        <v>9</v>
      </c>
      <c r="AI63" s="389">
        <f t="shared" si="13"/>
        <v>9</v>
      </c>
      <c r="AJ63" s="389">
        <f t="shared" si="13"/>
        <v>9</v>
      </c>
      <c r="AK63" s="389">
        <f t="shared" si="13"/>
        <v>9</v>
      </c>
      <c r="AL63" s="389">
        <f t="shared" si="13"/>
        <v>9</v>
      </c>
      <c r="AM63" s="389">
        <f t="shared" si="13"/>
        <v>9</v>
      </c>
      <c r="AN63" s="389">
        <f t="shared" si="13"/>
        <v>9</v>
      </c>
      <c r="AO63" s="389">
        <f t="shared" si="13"/>
        <v>9</v>
      </c>
      <c r="AP63" s="389">
        <f t="shared" si="13"/>
        <v>9</v>
      </c>
      <c r="AQ63" s="389">
        <f t="shared" si="13"/>
        <v>9</v>
      </c>
      <c r="AR63" s="389">
        <f t="shared" si="13"/>
        <v>9</v>
      </c>
      <c r="AS63" s="389">
        <f t="shared" si="13"/>
        <v>9</v>
      </c>
      <c r="AT63" s="389">
        <f t="shared" si="13"/>
        <v>9</v>
      </c>
    </row>
    <row r="64" spans="1:46" hidden="1" x14ac:dyDescent="0.35">
      <c r="A64" s="8"/>
      <c r="B64" t="s">
        <v>208</v>
      </c>
      <c r="G64" s="389">
        <f>$H$9</f>
        <v>30</v>
      </c>
      <c r="H64" s="389">
        <f t="shared" ref="H64:AT64" si="14">$H$9</f>
        <v>30</v>
      </c>
      <c r="I64" s="389">
        <f t="shared" si="14"/>
        <v>30</v>
      </c>
      <c r="J64" s="389">
        <f t="shared" si="14"/>
        <v>30</v>
      </c>
      <c r="K64" s="389">
        <f t="shared" si="14"/>
        <v>30</v>
      </c>
      <c r="L64" s="389">
        <f t="shared" si="14"/>
        <v>30</v>
      </c>
      <c r="M64" s="389">
        <f t="shared" si="14"/>
        <v>30</v>
      </c>
      <c r="N64" s="389">
        <f t="shared" si="14"/>
        <v>30</v>
      </c>
      <c r="O64" s="389">
        <f t="shared" si="14"/>
        <v>30</v>
      </c>
      <c r="P64" s="389">
        <f t="shared" si="14"/>
        <v>30</v>
      </c>
      <c r="Q64" s="389">
        <f t="shared" si="14"/>
        <v>30</v>
      </c>
      <c r="R64" s="389">
        <f t="shared" si="14"/>
        <v>30</v>
      </c>
      <c r="S64" s="389">
        <f t="shared" si="14"/>
        <v>30</v>
      </c>
      <c r="T64" s="389">
        <f t="shared" si="14"/>
        <v>30</v>
      </c>
      <c r="U64" s="389">
        <f t="shared" si="14"/>
        <v>30</v>
      </c>
      <c r="V64" s="389">
        <f t="shared" si="14"/>
        <v>30</v>
      </c>
      <c r="W64" s="389">
        <f t="shared" si="14"/>
        <v>30</v>
      </c>
      <c r="X64" s="389">
        <f t="shared" si="14"/>
        <v>30</v>
      </c>
      <c r="Y64" s="389">
        <f t="shared" si="14"/>
        <v>30</v>
      </c>
      <c r="Z64" s="389">
        <f t="shared" si="14"/>
        <v>30</v>
      </c>
      <c r="AA64" s="389">
        <f t="shared" si="14"/>
        <v>30</v>
      </c>
      <c r="AB64" s="389">
        <f t="shared" si="14"/>
        <v>30</v>
      </c>
      <c r="AC64" s="389">
        <f t="shared" si="14"/>
        <v>30</v>
      </c>
      <c r="AD64" s="389">
        <f t="shared" si="14"/>
        <v>30</v>
      </c>
      <c r="AE64" s="389">
        <f t="shared" si="14"/>
        <v>30</v>
      </c>
      <c r="AF64" s="389">
        <f t="shared" si="14"/>
        <v>30</v>
      </c>
      <c r="AG64" s="389">
        <f t="shared" si="14"/>
        <v>30</v>
      </c>
      <c r="AH64" s="389">
        <f t="shared" si="14"/>
        <v>30</v>
      </c>
      <c r="AI64" s="389">
        <f t="shared" si="14"/>
        <v>30</v>
      </c>
      <c r="AJ64" s="389">
        <f t="shared" si="14"/>
        <v>30</v>
      </c>
      <c r="AK64" s="389">
        <f t="shared" si="14"/>
        <v>30</v>
      </c>
      <c r="AL64" s="389">
        <f t="shared" si="14"/>
        <v>30</v>
      </c>
      <c r="AM64" s="389">
        <f t="shared" si="14"/>
        <v>30</v>
      </c>
      <c r="AN64" s="389">
        <f t="shared" si="14"/>
        <v>30</v>
      </c>
      <c r="AO64" s="389">
        <f t="shared" si="14"/>
        <v>30</v>
      </c>
      <c r="AP64" s="389">
        <f t="shared" si="14"/>
        <v>30</v>
      </c>
      <c r="AQ64" s="389">
        <f t="shared" si="14"/>
        <v>30</v>
      </c>
      <c r="AR64" s="389">
        <f t="shared" si="14"/>
        <v>30</v>
      </c>
      <c r="AS64" s="389">
        <f t="shared" si="14"/>
        <v>30</v>
      </c>
      <c r="AT64" s="389">
        <f t="shared" si="14"/>
        <v>30</v>
      </c>
    </row>
    <row r="65" spans="1:46" hidden="1" x14ac:dyDescent="0.35">
      <c r="A65" s="8"/>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c r="AJ65" s="384"/>
      <c r="AK65" s="384"/>
      <c r="AL65" s="384"/>
      <c r="AM65" s="384"/>
      <c r="AN65" s="384"/>
      <c r="AO65" s="384"/>
      <c r="AP65" s="384"/>
      <c r="AQ65" s="384"/>
      <c r="AR65" s="384"/>
      <c r="AS65" s="384"/>
      <c r="AT65" s="384"/>
    </row>
    <row r="66" spans="1:46" hidden="1" x14ac:dyDescent="0.35">
      <c r="A66" s="8"/>
      <c r="B66" t="s">
        <v>447</v>
      </c>
      <c r="G66" s="390">
        <f>G63/G61</f>
        <v>1.6377721203871695E-8</v>
      </c>
      <c r="H66" s="390">
        <f t="shared" ref="H66:AT66" si="15">H63/H61</f>
        <v>1.6377721203871695E-8</v>
      </c>
      <c r="I66" s="390">
        <f t="shared" si="15"/>
        <v>1.6377721203871695E-8</v>
      </c>
      <c r="J66" s="390">
        <f t="shared" si="15"/>
        <v>1.6377721203871695E-8</v>
      </c>
      <c r="K66" s="390">
        <f t="shared" si="15"/>
        <v>1.6377721203871695E-8</v>
      </c>
      <c r="L66" s="390">
        <f t="shared" si="15"/>
        <v>1.6377721203871695E-8</v>
      </c>
      <c r="M66" s="390">
        <f t="shared" si="15"/>
        <v>1.6377721203871695E-8</v>
      </c>
      <c r="N66" s="390">
        <f t="shared" si="15"/>
        <v>1.6377721203871695E-8</v>
      </c>
      <c r="O66" s="390">
        <f t="shared" si="15"/>
        <v>1.6377721203871695E-8</v>
      </c>
      <c r="P66" s="390">
        <f t="shared" si="15"/>
        <v>1.637744003507482E-8</v>
      </c>
      <c r="Q66" s="390">
        <f t="shared" si="15"/>
        <v>1.6377158875931858E-8</v>
      </c>
      <c r="R66" s="390">
        <f t="shared" si="15"/>
        <v>1.6376877726442311E-8</v>
      </c>
      <c r="S66" s="390">
        <f t="shared" si="15"/>
        <v>1.6376596586605678E-8</v>
      </c>
      <c r="T66" s="390">
        <f t="shared" si="15"/>
        <v>1.6376315456421469E-8</v>
      </c>
      <c r="U66" s="390">
        <f t="shared" si="15"/>
        <v>1.6375537421218161E-8</v>
      </c>
      <c r="V66" s="390">
        <f t="shared" si="15"/>
        <v>1.6375467621323224E-8</v>
      </c>
      <c r="W66" s="390">
        <f t="shared" si="15"/>
        <v>1.6375395590742267E-8</v>
      </c>
      <c r="X66" s="390">
        <f t="shared" si="15"/>
        <v>1.6375321258206945E-8</v>
      </c>
      <c r="Y66" s="390">
        <f t="shared" si="15"/>
        <v>1.6375244550173278E-8</v>
      </c>
      <c r="Z66" s="390">
        <f t="shared" si="15"/>
        <v>1.6375165390749086E-8</v>
      </c>
      <c r="AA66" s="390">
        <f t="shared" si="15"/>
        <v>1.6375083701619121E-8</v>
      </c>
      <c r="AB66" s="390">
        <f t="shared" si="15"/>
        <v>1.6374999401967786E-8</v>
      </c>
      <c r="AC66" s="390">
        <f t="shared" si="15"/>
        <v>1.6374912408399412E-8</v>
      </c>
      <c r="AD66" s="390">
        <f t="shared" si="15"/>
        <v>1.6374822634856004E-8</v>
      </c>
      <c r="AE66" s="390">
        <f t="shared" si="15"/>
        <v>1.6374729992532368E-8</v>
      </c>
      <c r="AF66" s="390">
        <f t="shared" si="15"/>
        <v>1.6374634389788553E-8</v>
      </c>
      <c r="AG66" s="390">
        <f t="shared" si="15"/>
        <v>1.6374535732059464E-8</v>
      </c>
      <c r="AH66" s="390">
        <f t="shared" si="15"/>
        <v>1.6374433921761665E-8</v>
      </c>
      <c r="AI66" s="390">
        <f t="shared" si="15"/>
        <v>1.6374328858197176E-8</v>
      </c>
      <c r="AJ66" s="390">
        <f t="shared" si="15"/>
        <v>1.6377721203871695E-8</v>
      </c>
      <c r="AK66" s="390">
        <f t="shared" si="15"/>
        <v>1.6377721203871695E-8</v>
      </c>
      <c r="AL66" s="390">
        <f t="shared" si="15"/>
        <v>1.6377721203871695E-8</v>
      </c>
      <c r="AM66" s="390">
        <f t="shared" si="15"/>
        <v>1.6377721203871695E-8</v>
      </c>
      <c r="AN66" s="390">
        <f t="shared" si="15"/>
        <v>1.6377721203871695E-8</v>
      </c>
      <c r="AO66" s="390">
        <f t="shared" si="15"/>
        <v>1.6377721203871695E-8</v>
      </c>
      <c r="AP66" s="390">
        <f t="shared" si="15"/>
        <v>1.6377721203871695E-8</v>
      </c>
      <c r="AQ66" s="390">
        <f t="shared" si="15"/>
        <v>1.6377721203871695E-8</v>
      </c>
      <c r="AR66" s="390">
        <f t="shared" si="15"/>
        <v>1.6377721203871695E-8</v>
      </c>
      <c r="AS66" s="390">
        <f t="shared" si="15"/>
        <v>1.6377721203871695E-8</v>
      </c>
      <c r="AT66" s="390">
        <f t="shared" si="15"/>
        <v>1.6377721203871695E-8</v>
      </c>
    </row>
    <row r="67" spans="1:46" hidden="1" x14ac:dyDescent="0.35">
      <c r="A67" s="8"/>
      <c r="B67" t="s">
        <v>450</v>
      </c>
      <c r="G67" s="390">
        <f>G64/G61</f>
        <v>5.4592404012905645E-8</v>
      </c>
      <c r="H67" s="390">
        <f t="shared" ref="H67:AT67" si="16">H64/H61</f>
        <v>5.4592404012905645E-8</v>
      </c>
      <c r="I67" s="390">
        <f t="shared" si="16"/>
        <v>5.4592404012905645E-8</v>
      </c>
      <c r="J67" s="390">
        <f t="shared" si="16"/>
        <v>5.4592404012905645E-8</v>
      </c>
      <c r="K67" s="390">
        <f t="shared" si="16"/>
        <v>5.4592404012905645E-8</v>
      </c>
      <c r="L67" s="390">
        <f t="shared" si="16"/>
        <v>5.4592404012905645E-8</v>
      </c>
      <c r="M67" s="390">
        <f t="shared" si="16"/>
        <v>5.4592404012905645E-8</v>
      </c>
      <c r="N67" s="390">
        <f t="shared" si="16"/>
        <v>5.4592404012905645E-8</v>
      </c>
      <c r="O67" s="390">
        <f t="shared" si="16"/>
        <v>5.4592404012905645E-8</v>
      </c>
      <c r="P67" s="390">
        <f t="shared" si="16"/>
        <v>5.4591466783582733E-8</v>
      </c>
      <c r="Q67" s="390">
        <f t="shared" si="16"/>
        <v>5.459052958643953E-8</v>
      </c>
      <c r="R67" s="390">
        <f t="shared" si="16"/>
        <v>5.4589592421474373E-8</v>
      </c>
      <c r="S67" s="390">
        <f t="shared" si="16"/>
        <v>5.458865528868559E-8</v>
      </c>
      <c r="T67" s="390">
        <f t="shared" si="16"/>
        <v>5.4587718188071558E-8</v>
      </c>
      <c r="U67" s="390">
        <f t="shared" si="16"/>
        <v>5.4585124737393871E-8</v>
      </c>
      <c r="V67" s="390">
        <f t="shared" si="16"/>
        <v>5.4584892071077407E-8</v>
      </c>
      <c r="W67" s="390">
        <f t="shared" si="16"/>
        <v>5.4584651969140893E-8</v>
      </c>
      <c r="X67" s="390">
        <f t="shared" si="16"/>
        <v>5.4584404194023151E-8</v>
      </c>
      <c r="Y67" s="390">
        <f t="shared" si="16"/>
        <v>5.4584148500577594E-8</v>
      </c>
      <c r="Z67" s="390">
        <f t="shared" si="16"/>
        <v>5.4583884635830282E-8</v>
      </c>
      <c r="AA67" s="390">
        <f t="shared" si="16"/>
        <v>5.4583612338730404E-8</v>
      </c>
      <c r="AB67" s="390">
        <f t="shared" si="16"/>
        <v>5.4583331339892619E-8</v>
      </c>
      <c r="AC67" s="390">
        <f t="shared" si="16"/>
        <v>5.4583041361331367E-8</v>
      </c>
      <c r="AD67" s="390">
        <f t="shared" si="16"/>
        <v>5.4582742116186679E-8</v>
      </c>
      <c r="AE67" s="390">
        <f t="shared" si="16"/>
        <v>5.4582433308441232E-8</v>
      </c>
      <c r="AF67" s="390">
        <f t="shared" si="16"/>
        <v>5.4582114632628509E-8</v>
      </c>
      <c r="AG67" s="390">
        <f t="shared" si="16"/>
        <v>5.4581785773531544E-8</v>
      </c>
      <c r="AH67" s="390">
        <f t="shared" si="16"/>
        <v>5.4581446405872216E-8</v>
      </c>
      <c r="AI67" s="390">
        <f t="shared" si="16"/>
        <v>5.4581096193990584E-8</v>
      </c>
      <c r="AJ67" s="390">
        <f t="shared" si="16"/>
        <v>5.4592404012905645E-8</v>
      </c>
      <c r="AK67" s="390">
        <f t="shared" si="16"/>
        <v>5.4592404012905645E-8</v>
      </c>
      <c r="AL67" s="390">
        <f t="shared" si="16"/>
        <v>5.4592404012905645E-8</v>
      </c>
      <c r="AM67" s="390">
        <f t="shared" si="16"/>
        <v>5.4592404012905645E-8</v>
      </c>
      <c r="AN67" s="390">
        <f t="shared" si="16"/>
        <v>5.4592404012905645E-8</v>
      </c>
      <c r="AO67" s="390">
        <f t="shared" si="16"/>
        <v>5.4592404012905645E-8</v>
      </c>
      <c r="AP67" s="390">
        <f t="shared" si="16"/>
        <v>5.4592404012905645E-8</v>
      </c>
      <c r="AQ67" s="390">
        <f t="shared" si="16"/>
        <v>5.4592404012905645E-8</v>
      </c>
      <c r="AR67" s="390">
        <f t="shared" si="16"/>
        <v>5.4592404012905645E-8</v>
      </c>
      <c r="AS67" s="390">
        <f t="shared" si="16"/>
        <v>5.4592404012905645E-8</v>
      </c>
      <c r="AT67" s="390">
        <f t="shared" si="16"/>
        <v>5.4592404012905645E-8</v>
      </c>
    </row>
    <row r="68" spans="1:46" hidden="1" x14ac:dyDescent="0.35"/>
    <row r="70" spans="1:46" x14ac:dyDescent="0.35">
      <c r="A70" s="371" t="s">
        <v>452</v>
      </c>
      <c r="B70" s="372"/>
    </row>
    <row r="72" spans="1:46" x14ac:dyDescent="0.35">
      <c r="A72" s="371" t="s">
        <v>444</v>
      </c>
      <c r="B72" s="372"/>
    </row>
    <row r="74" spans="1:46" x14ac:dyDescent="0.35">
      <c r="B74" t="s">
        <v>453</v>
      </c>
      <c r="F74" s="705">
        <f>SUM(G74:AT74)</f>
        <v>2.6270484000619816</v>
      </c>
      <c r="G74" s="511">
        <f>G23*G37*$L$6*G18</f>
        <v>0</v>
      </c>
      <c r="H74" s="511">
        <f t="shared" ref="H74:AT74" si="17">H23*H37*$L$6*H18</f>
        <v>0</v>
      </c>
      <c r="I74" s="511">
        <f t="shared" si="17"/>
        <v>0</v>
      </c>
      <c r="J74" s="511">
        <f t="shared" si="17"/>
        <v>0</v>
      </c>
      <c r="K74" s="511">
        <f t="shared" si="17"/>
        <v>0</v>
      </c>
      <c r="L74" s="511">
        <f t="shared" si="17"/>
        <v>0</v>
      </c>
      <c r="M74" s="511">
        <f t="shared" si="17"/>
        <v>0</v>
      </c>
      <c r="N74" s="511">
        <f t="shared" si="17"/>
        <v>0</v>
      </c>
      <c r="O74" s="511">
        <f t="shared" si="17"/>
        <v>0</v>
      </c>
      <c r="P74" s="511">
        <f t="shared" si="17"/>
        <v>1.6259289157461814E-2</v>
      </c>
      <c r="Q74" s="511">
        <f t="shared" si="17"/>
        <v>3.2518578314923635E-2</v>
      </c>
      <c r="R74" s="511">
        <f t="shared" si="17"/>
        <v>4.8777867472385453E-2</v>
      </c>
      <c r="S74" s="511">
        <f t="shared" si="17"/>
        <v>6.503715662984727E-2</v>
      </c>
      <c r="T74" s="511">
        <f t="shared" si="17"/>
        <v>8.1296445787309074E-2</v>
      </c>
      <c r="U74" s="511">
        <f t="shared" si="17"/>
        <v>0.12629736804239491</v>
      </c>
      <c r="V74" s="511">
        <f t="shared" si="17"/>
        <v>0.13033474611954907</v>
      </c>
      <c r="W74" s="511">
        <f t="shared" si="17"/>
        <v>0.13450118802432334</v>
      </c>
      <c r="X74" s="511">
        <f t="shared" si="17"/>
        <v>0.13880081957086751</v>
      </c>
      <c r="Y74" s="511">
        <f t="shared" si="17"/>
        <v>0.14323789846421664</v>
      </c>
      <c r="Z74" s="511">
        <f t="shared" si="17"/>
        <v>0.14781681851647729</v>
      </c>
      <c r="AA74" s="511">
        <f t="shared" si="17"/>
        <v>0.15254211399779555</v>
      </c>
      <c r="AB74" s="511">
        <f t="shared" si="17"/>
        <v>0.15741846412641203</v>
      </c>
      <c r="AC74" s="511">
        <f t="shared" si="17"/>
        <v>0.16245069770225282</v>
      </c>
      <c r="AD74" s="511">
        <f t="shared" si="17"/>
        <v>0.16764379788864242</v>
      </c>
      <c r="AE74" s="511">
        <f t="shared" si="17"/>
        <v>0.17300290714687552</v>
      </c>
      <c r="AF74" s="511">
        <f t="shared" si="17"/>
        <v>0.17853333232853313</v>
      </c>
      <c r="AG74" s="511">
        <f t="shared" si="17"/>
        <v>0.18424054993058606</v>
      </c>
      <c r="AH74" s="511">
        <f t="shared" si="17"/>
        <v>0.19013021151848933</v>
      </c>
      <c r="AI74" s="511">
        <f t="shared" si="17"/>
        <v>0.19620814932263855</v>
      </c>
      <c r="AJ74" s="511">
        <f t="shared" si="17"/>
        <v>0</v>
      </c>
      <c r="AK74" s="511">
        <f t="shared" si="17"/>
        <v>0</v>
      </c>
      <c r="AL74" s="511">
        <f t="shared" si="17"/>
        <v>0</v>
      </c>
      <c r="AM74" s="511">
        <f t="shared" si="17"/>
        <v>0</v>
      </c>
      <c r="AN74" s="511">
        <f t="shared" si="17"/>
        <v>0</v>
      </c>
      <c r="AO74" s="511">
        <f t="shared" si="17"/>
        <v>0</v>
      </c>
      <c r="AP74" s="511">
        <f t="shared" si="17"/>
        <v>0</v>
      </c>
      <c r="AQ74" s="511">
        <f t="shared" si="17"/>
        <v>0</v>
      </c>
      <c r="AR74" s="511">
        <f t="shared" si="17"/>
        <v>0</v>
      </c>
      <c r="AS74" s="511">
        <f t="shared" si="17"/>
        <v>0</v>
      </c>
      <c r="AT74" s="511">
        <f t="shared" si="17"/>
        <v>0</v>
      </c>
    </row>
    <row r="75" spans="1:46" x14ac:dyDescent="0.35">
      <c r="B75" t="s">
        <v>454</v>
      </c>
      <c r="F75" s="705">
        <f>SUM(G75:AT75)</f>
        <v>12.620134470885988</v>
      </c>
      <c r="G75" s="511">
        <f>G23*G38*$L$6*G18</f>
        <v>0</v>
      </c>
      <c r="H75" s="511">
        <f t="shared" ref="H75:AT75" si="18">H23*H38*$L$6*H18</f>
        <v>0</v>
      </c>
      <c r="I75" s="511">
        <f t="shared" si="18"/>
        <v>0</v>
      </c>
      <c r="J75" s="511">
        <f t="shared" si="18"/>
        <v>0</v>
      </c>
      <c r="K75" s="511">
        <f t="shared" si="18"/>
        <v>0</v>
      </c>
      <c r="L75" s="511">
        <f t="shared" si="18"/>
        <v>0</v>
      </c>
      <c r="M75" s="511">
        <f t="shared" si="18"/>
        <v>0</v>
      </c>
      <c r="N75" s="511">
        <f t="shared" si="18"/>
        <v>0</v>
      </c>
      <c r="O75" s="511">
        <f t="shared" si="18"/>
        <v>0</v>
      </c>
      <c r="P75" s="511">
        <f t="shared" si="18"/>
        <v>7.8108349874081273E-2</v>
      </c>
      <c r="Q75" s="511">
        <f t="shared" si="18"/>
        <v>0.15621669974816252</v>
      </c>
      <c r="R75" s="511">
        <f t="shared" si="18"/>
        <v>0.23432504962224382</v>
      </c>
      <c r="S75" s="511">
        <f t="shared" si="18"/>
        <v>0.31243339949632509</v>
      </c>
      <c r="T75" s="511">
        <f t="shared" si="18"/>
        <v>0.39054174937040631</v>
      </c>
      <c r="U75" s="511">
        <f t="shared" si="18"/>
        <v>0.60672265039974027</v>
      </c>
      <c r="V75" s="511">
        <f t="shared" si="18"/>
        <v>0.62611789802528461</v>
      </c>
      <c r="W75" s="511">
        <f t="shared" si="18"/>
        <v>0.64613315815606309</v>
      </c>
      <c r="X75" s="511">
        <f t="shared" si="18"/>
        <v>0.66678825087965754</v>
      </c>
      <c r="Y75" s="511">
        <f t="shared" si="18"/>
        <v>0.68810362987711926</v>
      </c>
      <c r="Z75" s="511">
        <f t="shared" si="18"/>
        <v>0.71010040267719488</v>
      </c>
      <c r="AA75" s="511">
        <f t="shared" si="18"/>
        <v>0.73280035155803747</v>
      </c>
      <c r="AB75" s="511">
        <f t="shared" si="18"/>
        <v>0.75622595511707735</v>
      </c>
      <c r="AC75" s="511">
        <f t="shared" si="18"/>
        <v>0.7804004105304303</v>
      </c>
      <c r="AD75" s="511">
        <f t="shared" si="18"/>
        <v>0.80534765652387041</v>
      </c>
      <c r="AE75" s="511">
        <f t="shared" si="18"/>
        <v>0.83109239707812732</v>
      </c>
      <c r="AF75" s="511">
        <f t="shared" si="18"/>
        <v>0.85766012589197294</v>
      </c>
      <c r="AG75" s="511">
        <f t="shared" si="18"/>
        <v>0.88507715162732525</v>
      </c>
      <c r="AH75" s="511">
        <f t="shared" si="18"/>
        <v>0.91337062396137014</v>
      </c>
      <c r="AI75" s="511">
        <f t="shared" si="18"/>
        <v>0.94256856047149884</v>
      </c>
      <c r="AJ75" s="511">
        <f t="shared" si="18"/>
        <v>0</v>
      </c>
      <c r="AK75" s="511">
        <f t="shared" si="18"/>
        <v>0</v>
      </c>
      <c r="AL75" s="511">
        <f t="shared" si="18"/>
        <v>0</v>
      </c>
      <c r="AM75" s="511">
        <f t="shared" si="18"/>
        <v>0</v>
      </c>
      <c r="AN75" s="511">
        <f t="shared" si="18"/>
        <v>0</v>
      </c>
      <c r="AO75" s="511">
        <f t="shared" si="18"/>
        <v>0</v>
      </c>
      <c r="AP75" s="511">
        <f t="shared" si="18"/>
        <v>0</v>
      </c>
      <c r="AQ75" s="511">
        <f t="shared" si="18"/>
        <v>0</v>
      </c>
      <c r="AR75" s="511">
        <f t="shared" si="18"/>
        <v>0</v>
      </c>
      <c r="AS75" s="511">
        <f t="shared" si="18"/>
        <v>0</v>
      </c>
      <c r="AT75" s="511">
        <f t="shared" si="18"/>
        <v>0</v>
      </c>
    </row>
    <row r="77" spans="1:46" x14ac:dyDescent="0.35">
      <c r="B77" t="s">
        <v>455</v>
      </c>
      <c r="F77" s="174">
        <f>SUM(G77:AT77)</f>
        <v>35990563.080849141</v>
      </c>
      <c r="G77" s="384">
        <f t="shared" ref="G77:AT77" si="19">G23*G37*$H$10*$L$6*G18</f>
        <v>0</v>
      </c>
      <c r="H77" s="384">
        <f t="shared" si="19"/>
        <v>0</v>
      </c>
      <c r="I77" s="384">
        <f t="shared" si="19"/>
        <v>0</v>
      </c>
      <c r="J77" s="384">
        <f t="shared" si="19"/>
        <v>0</v>
      </c>
      <c r="K77" s="384">
        <f t="shared" si="19"/>
        <v>0</v>
      </c>
      <c r="L77" s="384">
        <f t="shared" si="19"/>
        <v>0</v>
      </c>
      <c r="M77" s="384">
        <f t="shared" si="19"/>
        <v>0</v>
      </c>
      <c r="N77" s="384">
        <f t="shared" si="19"/>
        <v>0</v>
      </c>
      <c r="O77" s="384">
        <f t="shared" si="19"/>
        <v>0</v>
      </c>
      <c r="P77" s="384">
        <f t="shared" si="19"/>
        <v>222752.26145722685</v>
      </c>
      <c r="Q77" s="384">
        <f t="shared" si="19"/>
        <v>445504.52291445382</v>
      </c>
      <c r="R77" s="384">
        <f t="shared" si="19"/>
        <v>668256.7843716807</v>
      </c>
      <c r="S77" s="384">
        <f t="shared" si="19"/>
        <v>891009.04582890763</v>
      </c>
      <c r="T77" s="384">
        <f t="shared" si="19"/>
        <v>1113761.3072861342</v>
      </c>
      <c r="U77" s="384">
        <f t="shared" si="19"/>
        <v>1730273.9421808103</v>
      </c>
      <c r="V77" s="384">
        <f t="shared" si="19"/>
        <v>1785586.0218378222</v>
      </c>
      <c r="W77" s="384">
        <f t="shared" si="19"/>
        <v>1842666.2759332298</v>
      </c>
      <c r="X77" s="384">
        <f t="shared" si="19"/>
        <v>1901571.2281208849</v>
      </c>
      <c r="Y77" s="384">
        <f t="shared" si="19"/>
        <v>1962359.2089597681</v>
      </c>
      <c r="Z77" s="384">
        <f t="shared" si="19"/>
        <v>2025090.413675739</v>
      </c>
      <c r="AA77" s="384">
        <f t="shared" si="19"/>
        <v>2089826.961769799</v>
      </c>
      <c r="AB77" s="384">
        <f t="shared" si="19"/>
        <v>2156632.9585318449</v>
      </c>
      <c r="AC77" s="384">
        <f t="shared" si="19"/>
        <v>2225574.5585208638</v>
      </c>
      <c r="AD77" s="384">
        <f t="shared" si="19"/>
        <v>2296720.031074401</v>
      </c>
      <c r="AE77" s="384">
        <f t="shared" si="19"/>
        <v>2370139.8279121947</v>
      </c>
      <c r="AF77" s="384">
        <f t="shared" si="19"/>
        <v>2445906.652900904</v>
      </c>
      <c r="AG77" s="384">
        <f t="shared" si="19"/>
        <v>2524095.534049029</v>
      </c>
      <c r="AH77" s="384">
        <f t="shared" si="19"/>
        <v>2604783.8978033038</v>
      </c>
      <c r="AI77" s="384">
        <f t="shared" si="19"/>
        <v>2688051.645720148</v>
      </c>
      <c r="AJ77" s="384">
        <f t="shared" si="19"/>
        <v>0</v>
      </c>
      <c r="AK77" s="384">
        <f t="shared" si="19"/>
        <v>0</v>
      </c>
      <c r="AL77" s="384">
        <f t="shared" si="19"/>
        <v>0</v>
      </c>
      <c r="AM77" s="384">
        <f t="shared" si="19"/>
        <v>0</v>
      </c>
      <c r="AN77" s="384">
        <f t="shared" si="19"/>
        <v>0</v>
      </c>
      <c r="AO77" s="384">
        <f t="shared" si="19"/>
        <v>0</v>
      </c>
      <c r="AP77" s="384">
        <f t="shared" si="19"/>
        <v>0</v>
      </c>
      <c r="AQ77" s="384">
        <f t="shared" si="19"/>
        <v>0</v>
      </c>
      <c r="AR77" s="384">
        <f t="shared" si="19"/>
        <v>0</v>
      </c>
      <c r="AS77" s="384">
        <f t="shared" si="19"/>
        <v>0</v>
      </c>
      <c r="AT77" s="384">
        <f t="shared" si="19"/>
        <v>0</v>
      </c>
    </row>
    <row r="78" spans="1:46" x14ac:dyDescent="0.35">
      <c r="B78" t="s">
        <v>456</v>
      </c>
      <c r="F78" s="174">
        <f>SUM(G78:AT78)</f>
        <v>16435201.121434823</v>
      </c>
      <c r="G78" s="384">
        <f t="shared" ref="G78:AT78" si="20">G23*G38*$H$11*$L$6*G18</f>
        <v>0</v>
      </c>
      <c r="H78" s="384">
        <f t="shared" si="20"/>
        <v>0</v>
      </c>
      <c r="I78" s="384">
        <f t="shared" si="20"/>
        <v>0</v>
      </c>
      <c r="J78" s="384">
        <f t="shared" si="20"/>
        <v>0</v>
      </c>
      <c r="K78" s="384">
        <f t="shared" si="20"/>
        <v>0</v>
      </c>
      <c r="L78" s="384">
        <f t="shared" si="20"/>
        <v>0</v>
      </c>
      <c r="M78" s="384">
        <f t="shared" si="20"/>
        <v>0</v>
      </c>
      <c r="N78" s="384">
        <f t="shared" si="20"/>
        <v>0</v>
      </c>
      <c r="O78" s="384">
        <f t="shared" si="20"/>
        <v>0</v>
      </c>
      <c r="P78" s="384">
        <f t="shared" si="20"/>
        <v>101720.50404101604</v>
      </c>
      <c r="Q78" s="384">
        <f t="shared" si="20"/>
        <v>203441.00808203206</v>
      </c>
      <c r="R78" s="384">
        <f t="shared" si="20"/>
        <v>305161.51212304813</v>
      </c>
      <c r="S78" s="384">
        <f t="shared" si="20"/>
        <v>406882.01616406417</v>
      </c>
      <c r="T78" s="384">
        <f t="shared" si="20"/>
        <v>508602.52020508016</v>
      </c>
      <c r="U78" s="384">
        <f t="shared" si="20"/>
        <v>790134.90761558176</v>
      </c>
      <c r="V78" s="384">
        <f t="shared" si="20"/>
        <v>815393.33859832818</v>
      </c>
      <c r="W78" s="384">
        <f t="shared" si="20"/>
        <v>841459.21186664095</v>
      </c>
      <c r="X78" s="384">
        <f t="shared" si="20"/>
        <v>868358.33912057802</v>
      </c>
      <c r="Y78" s="384">
        <f t="shared" si="20"/>
        <v>896117.35718897241</v>
      </c>
      <c r="Z78" s="384">
        <f t="shared" si="20"/>
        <v>924763.75440651085</v>
      </c>
      <c r="AA78" s="384">
        <f t="shared" si="20"/>
        <v>954325.89783403219</v>
      </c>
      <c r="AB78" s="384">
        <f t="shared" si="20"/>
        <v>984833.06134896982</v>
      </c>
      <c r="AC78" s="384">
        <f t="shared" si="20"/>
        <v>1016315.4546337794</v>
      </c>
      <c r="AD78" s="384">
        <f t="shared" si="20"/>
        <v>1048804.2530910363</v>
      </c>
      <c r="AE78" s="384">
        <f t="shared" si="20"/>
        <v>1082331.6287148453</v>
      </c>
      <c r="AF78" s="384">
        <f t="shared" si="20"/>
        <v>1116930.7819491164</v>
      </c>
      <c r="AG78" s="384">
        <f t="shared" si="20"/>
        <v>1152635.9745642657</v>
      </c>
      <c r="AH78" s="384">
        <f t="shared" si="20"/>
        <v>1189482.5635848923</v>
      </c>
      <c r="AI78" s="384">
        <f t="shared" si="20"/>
        <v>1227507.0363020329</v>
      </c>
      <c r="AJ78" s="384">
        <f t="shared" si="20"/>
        <v>0</v>
      </c>
      <c r="AK78" s="384">
        <f t="shared" si="20"/>
        <v>0</v>
      </c>
      <c r="AL78" s="384">
        <f t="shared" si="20"/>
        <v>0</v>
      </c>
      <c r="AM78" s="384">
        <f t="shared" si="20"/>
        <v>0</v>
      </c>
      <c r="AN78" s="384">
        <f t="shared" si="20"/>
        <v>0</v>
      </c>
      <c r="AO78" s="384">
        <f t="shared" si="20"/>
        <v>0</v>
      </c>
      <c r="AP78" s="384">
        <f t="shared" si="20"/>
        <v>0</v>
      </c>
      <c r="AQ78" s="384">
        <f t="shared" si="20"/>
        <v>0</v>
      </c>
      <c r="AR78" s="384">
        <f t="shared" si="20"/>
        <v>0</v>
      </c>
      <c r="AS78" s="384">
        <f t="shared" si="20"/>
        <v>0</v>
      </c>
      <c r="AT78" s="384">
        <f t="shared" si="20"/>
        <v>0</v>
      </c>
    </row>
    <row r="81" spans="2:46" x14ac:dyDescent="0.35">
      <c r="B81" s="371" t="s">
        <v>129</v>
      </c>
    </row>
    <row r="82" spans="2:46" ht="17.149999999999999" customHeight="1" x14ac:dyDescent="0.35"/>
    <row r="83" spans="2:46" ht="17.149999999999999" customHeight="1" x14ac:dyDescent="0.35">
      <c r="B83" t="s">
        <v>453</v>
      </c>
      <c r="F83" s="686">
        <f>SUM(G83:AT83)</f>
        <v>-2.496491740330984E-2</v>
      </c>
      <c r="G83" s="706">
        <f>G26*G46*$L$6*G18</f>
        <v>0</v>
      </c>
      <c r="H83" s="706">
        <f t="shared" ref="H83:AT83" si="21">H26*H46*$L$6*H18</f>
        <v>0</v>
      </c>
      <c r="I83" s="706">
        <f t="shared" si="21"/>
        <v>0</v>
      </c>
      <c r="J83" s="706">
        <f t="shared" si="21"/>
        <v>0</v>
      </c>
      <c r="K83" s="706">
        <f t="shared" si="21"/>
        <v>0</v>
      </c>
      <c r="L83" s="706">
        <f t="shared" si="21"/>
        <v>0</v>
      </c>
      <c r="M83" s="706">
        <f t="shared" si="21"/>
        <v>0</v>
      </c>
      <c r="N83" s="706">
        <f t="shared" si="21"/>
        <v>0</v>
      </c>
      <c r="O83" s="706">
        <f t="shared" si="21"/>
        <v>0</v>
      </c>
      <c r="P83" s="706">
        <f t="shared" si="21"/>
        <v>-1.5451249807311835E-4</v>
      </c>
      <c r="Q83" s="706">
        <f t="shared" si="21"/>
        <v>-3.0902499614623671E-4</v>
      </c>
      <c r="R83" s="706">
        <f t="shared" si="21"/>
        <v>-4.6353749421935492E-4</v>
      </c>
      <c r="S83" s="706">
        <f t="shared" si="21"/>
        <v>-6.1804999229247341E-4</v>
      </c>
      <c r="T83" s="706">
        <f t="shared" si="21"/>
        <v>-7.7256249036559163E-4</v>
      </c>
      <c r="U83" s="706">
        <f t="shared" si="21"/>
        <v>-1.200207564260872E-3</v>
      </c>
      <c r="V83" s="706">
        <f t="shared" si="21"/>
        <v>-1.2385748856317727E-3</v>
      </c>
      <c r="W83" s="706">
        <f t="shared" si="21"/>
        <v>-1.2781687043128152E-3</v>
      </c>
      <c r="X83" s="706">
        <f t="shared" si="21"/>
        <v>-1.3190282280359455E-3</v>
      </c>
      <c r="Y83" s="706">
        <f t="shared" si="21"/>
        <v>-1.3611939178960245E-3</v>
      </c>
      <c r="Z83" s="706">
        <f t="shared" si="21"/>
        <v>-1.4047075284173798E-3</v>
      </c>
      <c r="AA83" s="706">
        <f t="shared" si="21"/>
        <v>-1.4496121489011738E-3</v>
      </c>
      <c r="AB83" s="706">
        <f t="shared" si="21"/>
        <v>-1.4959522460945322E-3</v>
      </c>
      <c r="AC83" s="706">
        <f t="shared" si="21"/>
        <v>-1.54377370822369E-3</v>
      </c>
      <c r="AD83" s="706">
        <f t="shared" si="21"/>
        <v>-1.5931238904347488E-3</v>
      </c>
      <c r="AE83" s="706">
        <f t="shared" si="21"/>
        <v>-1.6440516616870585E-3</v>
      </c>
      <c r="AF83" s="706">
        <f t="shared" si="21"/>
        <v>-1.6966074531456431E-3</v>
      </c>
      <c r="AG83" s="706">
        <f t="shared" si="21"/>
        <v>-1.7508433081206054E-3</v>
      </c>
      <c r="AH83" s="706">
        <f t="shared" si="21"/>
        <v>-1.8068129336029461E-3</v>
      </c>
      <c r="AI83" s="706">
        <f t="shared" si="21"/>
        <v>-1.8645717534478579E-3</v>
      </c>
      <c r="AJ83" s="706">
        <f t="shared" si="21"/>
        <v>0</v>
      </c>
      <c r="AK83" s="706">
        <f t="shared" si="21"/>
        <v>0</v>
      </c>
      <c r="AL83" s="706">
        <f t="shared" si="21"/>
        <v>0</v>
      </c>
      <c r="AM83" s="706">
        <f t="shared" si="21"/>
        <v>0</v>
      </c>
      <c r="AN83" s="706">
        <f t="shared" si="21"/>
        <v>0</v>
      </c>
      <c r="AO83" s="706">
        <f t="shared" si="21"/>
        <v>0</v>
      </c>
      <c r="AP83" s="706">
        <f t="shared" si="21"/>
        <v>0</v>
      </c>
      <c r="AQ83" s="706">
        <f t="shared" si="21"/>
        <v>0</v>
      </c>
      <c r="AR83" s="706">
        <f t="shared" si="21"/>
        <v>0</v>
      </c>
      <c r="AS83" s="706">
        <f t="shared" si="21"/>
        <v>0</v>
      </c>
      <c r="AT83" s="706">
        <f t="shared" si="21"/>
        <v>0</v>
      </c>
    </row>
    <row r="84" spans="2:46" ht="17.149999999999999" customHeight="1" x14ac:dyDescent="0.35">
      <c r="B84" t="s">
        <v>457</v>
      </c>
      <c r="F84" s="686">
        <f>SUM(G84:AT84)</f>
        <v>-8.3216391344366133E-2</v>
      </c>
      <c r="G84" s="706">
        <f>G26*G47*$L$6*G18</f>
        <v>0</v>
      </c>
      <c r="H84" s="706">
        <f t="shared" ref="H84:AT84" si="22">H26*H47*$L$6*H18</f>
        <v>0</v>
      </c>
      <c r="I84" s="706">
        <f t="shared" si="22"/>
        <v>0</v>
      </c>
      <c r="J84" s="706">
        <f t="shared" si="22"/>
        <v>0</v>
      </c>
      <c r="K84" s="706">
        <f t="shared" si="22"/>
        <v>0</v>
      </c>
      <c r="L84" s="706">
        <f t="shared" si="22"/>
        <v>0</v>
      </c>
      <c r="M84" s="706">
        <f t="shared" si="22"/>
        <v>0</v>
      </c>
      <c r="N84" s="706">
        <f t="shared" si="22"/>
        <v>0</v>
      </c>
      <c r="O84" s="706">
        <f t="shared" si="22"/>
        <v>0</v>
      </c>
      <c r="P84" s="706">
        <f t="shared" si="22"/>
        <v>-5.1504166024372779E-4</v>
      </c>
      <c r="Q84" s="706">
        <f t="shared" si="22"/>
        <v>-1.0300833204874556E-3</v>
      </c>
      <c r="R84" s="706">
        <f t="shared" si="22"/>
        <v>-1.545124980731183E-3</v>
      </c>
      <c r="S84" s="706">
        <f t="shared" si="22"/>
        <v>-2.0601666409749112E-3</v>
      </c>
      <c r="T84" s="706">
        <f t="shared" si="22"/>
        <v>-2.5752083012186384E-3</v>
      </c>
      <c r="U84" s="706">
        <f t="shared" si="22"/>
        <v>-4.0006918808695733E-3</v>
      </c>
      <c r="V84" s="706">
        <f t="shared" si="22"/>
        <v>-4.1285829521059084E-3</v>
      </c>
      <c r="W84" s="706">
        <f t="shared" si="22"/>
        <v>-4.2605623477093837E-3</v>
      </c>
      <c r="X84" s="706">
        <f t="shared" si="22"/>
        <v>-4.3967607601198182E-3</v>
      </c>
      <c r="Y84" s="706">
        <f t="shared" si="22"/>
        <v>-4.5373130596534144E-3</v>
      </c>
      <c r="Z84" s="706">
        <f t="shared" si="22"/>
        <v>-4.6823584280579322E-3</v>
      </c>
      <c r="AA84" s="706">
        <f t="shared" si="22"/>
        <v>-4.8320404963372457E-3</v>
      </c>
      <c r="AB84" s="706">
        <f t="shared" si="22"/>
        <v>-4.9865074869817737E-3</v>
      </c>
      <c r="AC84" s="706">
        <f t="shared" si="22"/>
        <v>-5.1459123607456329E-3</v>
      </c>
      <c r="AD84" s="706">
        <f t="shared" si="22"/>
        <v>-5.3104129681158293E-3</v>
      </c>
      <c r="AE84" s="706">
        <f t="shared" si="22"/>
        <v>-5.4801722056235279E-3</v>
      </c>
      <c r="AF84" s="706">
        <f t="shared" si="22"/>
        <v>-5.6553581771521429E-3</v>
      </c>
      <c r="AG84" s="706">
        <f t="shared" si="22"/>
        <v>-5.8361443604020178E-3</v>
      </c>
      <c r="AH84" s="706">
        <f t="shared" si="22"/>
        <v>-6.0227097786764864E-3</v>
      </c>
      <c r="AI84" s="706">
        <f t="shared" si="22"/>
        <v>-6.2152391781595253E-3</v>
      </c>
      <c r="AJ84" s="706">
        <f t="shared" si="22"/>
        <v>0</v>
      </c>
      <c r="AK84" s="706">
        <f t="shared" si="22"/>
        <v>0</v>
      </c>
      <c r="AL84" s="706">
        <f t="shared" si="22"/>
        <v>0</v>
      </c>
      <c r="AM84" s="706">
        <f t="shared" si="22"/>
        <v>0</v>
      </c>
      <c r="AN84" s="706">
        <f t="shared" si="22"/>
        <v>0</v>
      </c>
      <c r="AO84" s="706">
        <f t="shared" si="22"/>
        <v>0</v>
      </c>
      <c r="AP84" s="706">
        <f t="shared" si="22"/>
        <v>0</v>
      </c>
      <c r="AQ84" s="706">
        <f t="shared" si="22"/>
        <v>0</v>
      </c>
      <c r="AR84" s="706">
        <f t="shared" si="22"/>
        <v>0</v>
      </c>
      <c r="AS84" s="706">
        <f t="shared" si="22"/>
        <v>0</v>
      </c>
      <c r="AT84" s="706">
        <f t="shared" si="22"/>
        <v>0</v>
      </c>
    </row>
    <row r="85" spans="2:46" ht="17.149999999999999" customHeight="1" x14ac:dyDescent="0.35"/>
    <row r="86" spans="2:46" x14ac:dyDescent="0.35">
      <c r="B86" t="s">
        <v>455</v>
      </c>
      <c r="F86" s="174">
        <f>SUM(G86:AT86)</f>
        <v>-342019.36842534476</v>
      </c>
      <c r="G86" s="384">
        <f t="shared" ref="G86:AT86" si="23">G26*G46*$H$10*$L$6*G18</f>
        <v>0</v>
      </c>
      <c r="H86" s="384">
        <f t="shared" si="23"/>
        <v>0</v>
      </c>
      <c r="I86" s="384">
        <f t="shared" si="23"/>
        <v>0</v>
      </c>
      <c r="J86" s="384">
        <f t="shared" si="23"/>
        <v>0</v>
      </c>
      <c r="K86" s="384">
        <f t="shared" si="23"/>
        <v>0</v>
      </c>
      <c r="L86" s="384">
        <f t="shared" si="23"/>
        <v>0</v>
      </c>
      <c r="M86" s="384">
        <f t="shared" si="23"/>
        <v>0</v>
      </c>
      <c r="N86" s="384">
        <f t="shared" si="23"/>
        <v>0</v>
      </c>
      <c r="O86" s="384">
        <f t="shared" si="23"/>
        <v>0</v>
      </c>
      <c r="P86" s="384">
        <f t="shared" si="23"/>
        <v>-2116.8212236017216</v>
      </c>
      <c r="Q86" s="384">
        <f t="shared" si="23"/>
        <v>-4233.6424472034432</v>
      </c>
      <c r="R86" s="384">
        <f t="shared" si="23"/>
        <v>-6350.4636708051621</v>
      </c>
      <c r="S86" s="384">
        <f t="shared" si="23"/>
        <v>-8467.2848944068865</v>
      </c>
      <c r="T86" s="384">
        <f t="shared" si="23"/>
        <v>-10584.106118008605</v>
      </c>
      <c r="U86" s="384">
        <f t="shared" si="23"/>
        <v>-16442.843630373947</v>
      </c>
      <c r="V86" s="384">
        <f t="shared" si="23"/>
        <v>-16968.475933155285</v>
      </c>
      <c r="W86" s="384">
        <f t="shared" si="23"/>
        <v>-17510.91124908557</v>
      </c>
      <c r="X86" s="384">
        <f t="shared" si="23"/>
        <v>-18070.686724092451</v>
      </c>
      <c r="Y86" s="384">
        <f t="shared" si="23"/>
        <v>-18648.356675175535</v>
      </c>
      <c r="Z86" s="384">
        <f t="shared" si="23"/>
        <v>-19244.493139318103</v>
      </c>
      <c r="AA86" s="384">
        <f t="shared" si="23"/>
        <v>-19859.686439946083</v>
      </c>
      <c r="AB86" s="384">
        <f t="shared" si="23"/>
        <v>-20494.54577149509</v>
      </c>
      <c r="AC86" s="384">
        <f t="shared" si="23"/>
        <v>-21149.699802664552</v>
      </c>
      <c r="AD86" s="384">
        <f t="shared" si="23"/>
        <v>-21825.797298956059</v>
      </c>
      <c r="AE86" s="384">
        <f t="shared" si="23"/>
        <v>-22523.507765112703</v>
      </c>
      <c r="AF86" s="384">
        <f t="shared" si="23"/>
        <v>-23243.522108095312</v>
      </c>
      <c r="AG86" s="384">
        <f t="shared" si="23"/>
        <v>-23986.553321252293</v>
      </c>
      <c r="AH86" s="384">
        <f t="shared" si="23"/>
        <v>-24753.337190360362</v>
      </c>
      <c r="AI86" s="384">
        <f t="shared" si="23"/>
        <v>-25544.633022235652</v>
      </c>
      <c r="AJ86" s="384">
        <f t="shared" si="23"/>
        <v>0</v>
      </c>
      <c r="AK86" s="384">
        <f t="shared" si="23"/>
        <v>0</v>
      </c>
      <c r="AL86" s="384">
        <f t="shared" si="23"/>
        <v>0</v>
      </c>
      <c r="AM86" s="384">
        <f t="shared" si="23"/>
        <v>0</v>
      </c>
      <c r="AN86" s="384">
        <f t="shared" si="23"/>
        <v>0</v>
      </c>
      <c r="AO86" s="384">
        <f t="shared" si="23"/>
        <v>0</v>
      </c>
      <c r="AP86" s="384">
        <f t="shared" si="23"/>
        <v>0</v>
      </c>
      <c r="AQ86" s="384">
        <f t="shared" si="23"/>
        <v>0</v>
      </c>
      <c r="AR86" s="384">
        <f t="shared" si="23"/>
        <v>0</v>
      </c>
      <c r="AS86" s="384">
        <f t="shared" si="23"/>
        <v>0</v>
      </c>
      <c r="AT86" s="384">
        <f t="shared" si="23"/>
        <v>0</v>
      </c>
    </row>
    <row r="87" spans="2:46" x14ac:dyDescent="0.35">
      <c r="B87" t="s">
        <v>458</v>
      </c>
      <c r="F87" s="174">
        <f>SUM(G87:AT87)</f>
        <v>-19847.109335631321</v>
      </c>
      <c r="G87" s="384">
        <f t="shared" ref="G87:AT87" si="24">G26*G47*$H$12*$L$6*G18</f>
        <v>0</v>
      </c>
      <c r="H87" s="384">
        <f t="shared" si="24"/>
        <v>0</v>
      </c>
      <c r="I87" s="384">
        <f t="shared" si="24"/>
        <v>0</v>
      </c>
      <c r="J87" s="384">
        <f t="shared" si="24"/>
        <v>0</v>
      </c>
      <c r="K87" s="384">
        <f t="shared" si="24"/>
        <v>0</v>
      </c>
      <c r="L87" s="384">
        <f t="shared" si="24"/>
        <v>0</v>
      </c>
      <c r="M87" s="384">
        <f t="shared" si="24"/>
        <v>0</v>
      </c>
      <c r="N87" s="384">
        <f t="shared" si="24"/>
        <v>0</v>
      </c>
      <c r="O87" s="384">
        <f t="shared" si="24"/>
        <v>0</v>
      </c>
      <c r="P87" s="384">
        <f t="shared" si="24"/>
        <v>-122.83743596812907</v>
      </c>
      <c r="Q87" s="384">
        <f t="shared" si="24"/>
        <v>-245.67487193625814</v>
      </c>
      <c r="R87" s="384">
        <f t="shared" si="24"/>
        <v>-368.51230790438717</v>
      </c>
      <c r="S87" s="384">
        <f t="shared" si="24"/>
        <v>-491.34974387251629</v>
      </c>
      <c r="T87" s="384">
        <f t="shared" si="24"/>
        <v>-614.18717984064529</v>
      </c>
      <c r="U87" s="384">
        <f t="shared" si="24"/>
        <v>-954.16501358739322</v>
      </c>
      <c r="V87" s="384">
        <f t="shared" si="24"/>
        <v>-984.66703407725913</v>
      </c>
      <c r="W87" s="384">
        <f t="shared" si="24"/>
        <v>-1016.144119928688</v>
      </c>
      <c r="X87" s="384">
        <f t="shared" si="24"/>
        <v>-1048.6274412885766</v>
      </c>
      <c r="Y87" s="384">
        <f t="shared" si="24"/>
        <v>-1082.1491647273394</v>
      </c>
      <c r="Z87" s="384">
        <f t="shared" si="24"/>
        <v>-1116.7424850918169</v>
      </c>
      <c r="AA87" s="384">
        <f t="shared" si="24"/>
        <v>-1152.441658376433</v>
      </c>
      <c r="AB87" s="384">
        <f t="shared" si="24"/>
        <v>-1189.282035645153</v>
      </c>
      <c r="AC87" s="384">
        <f t="shared" si="24"/>
        <v>-1227.3000980378335</v>
      </c>
      <c r="AD87" s="384">
        <f t="shared" si="24"/>
        <v>-1266.5334928956254</v>
      </c>
      <c r="AE87" s="384">
        <f t="shared" si="24"/>
        <v>-1307.0210710412114</v>
      </c>
      <c r="AF87" s="384">
        <f t="shared" si="24"/>
        <v>-1348.8029252507861</v>
      </c>
      <c r="AG87" s="384">
        <f t="shared" si="24"/>
        <v>-1391.9204299558812</v>
      </c>
      <c r="AH87" s="384">
        <f t="shared" si="24"/>
        <v>-1436.4162822143419</v>
      </c>
      <c r="AI87" s="384">
        <f t="shared" si="24"/>
        <v>-1482.3345439910468</v>
      </c>
      <c r="AJ87" s="384">
        <f t="shared" si="24"/>
        <v>0</v>
      </c>
      <c r="AK87" s="384">
        <f t="shared" si="24"/>
        <v>0</v>
      </c>
      <c r="AL87" s="384">
        <f t="shared" si="24"/>
        <v>0</v>
      </c>
      <c r="AM87" s="384">
        <f t="shared" si="24"/>
        <v>0</v>
      </c>
      <c r="AN87" s="384">
        <f t="shared" si="24"/>
        <v>0</v>
      </c>
      <c r="AO87" s="384">
        <f t="shared" si="24"/>
        <v>0</v>
      </c>
      <c r="AP87" s="384">
        <f t="shared" si="24"/>
        <v>0</v>
      </c>
      <c r="AQ87" s="384">
        <f t="shared" si="24"/>
        <v>0</v>
      </c>
      <c r="AR87" s="384">
        <f t="shared" si="24"/>
        <v>0</v>
      </c>
      <c r="AS87" s="384">
        <f t="shared" si="24"/>
        <v>0</v>
      </c>
      <c r="AT87" s="384">
        <f t="shared" si="24"/>
        <v>0</v>
      </c>
    </row>
    <row r="90" spans="2:46" s="8" customFormat="1" x14ac:dyDescent="0.35">
      <c r="B90" s="371" t="s">
        <v>459</v>
      </c>
    </row>
    <row r="91" spans="2:46" s="8" customFormat="1" x14ac:dyDescent="0.35">
      <c r="F91" s="393"/>
      <c r="G91" s="385"/>
      <c r="H91" s="385"/>
      <c r="I91" s="385"/>
      <c r="J91" s="385"/>
      <c r="K91" s="385"/>
      <c r="L91" s="385"/>
      <c r="M91" s="385"/>
      <c r="N91" s="385"/>
      <c r="O91" s="385"/>
      <c r="P91" s="385"/>
      <c r="Q91" s="385"/>
      <c r="R91" s="385"/>
      <c r="S91" s="385"/>
      <c r="T91" s="385"/>
      <c r="U91" s="385"/>
      <c r="V91" s="385"/>
      <c r="W91" s="385"/>
      <c r="X91" s="385"/>
      <c r="Y91" s="385"/>
      <c r="Z91" s="385"/>
      <c r="AA91" s="385"/>
      <c r="AB91" s="385"/>
      <c r="AC91" s="385"/>
      <c r="AD91" s="385"/>
      <c r="AE91" s="385"/>
      <c r="AF91" s="385"/>
      <c r="AG91" s="385"/>
      <c r="AH91" s="385"/>
      <c r="AI91" s="385"/>
      <c r="AJ91" s="385"/>
      <c r="AK91" s="385"/>
      <c r="AL91" s="385"/>
      <c r="AM91" s="385"/>
      <c r="AN91" s="385"/>
      <c r="AO91" s="385"/>
      <c r="AP91" s="385"/>
      <c r="AQ91" s="385"/>
      <c r="AR91" s="385"/>
      <c r="AS91" s="385"/>
      <c r="AT91" s="385"/>
    </row>
    <row r="92" spans="2:46" s="8" customFormat="1" x14ac:dyDescent="0.35">
      <c r="B92" s="8" t="s">
        <v>460</v>
      </c>
      <c r="F92" s="686">
        <f>SUM(G92:AT92)</f>
        <v>2.6520133174652907</v>
      </c>
      <c r="G92" s="706">
        <f>G74-G83</f>
        <v>0</v>
      </c>
      <c r="H92" s="706">
        <f t="shared" ref="H92:AT92" si="25">H74-H83</f>
        <v>0</v>
      </c>
      <c r="I92" s="706">
        <f t="shared" si="25"/>
        <v>0</v>
      </c>
      <c r="J92" s="706">
        <f t="shared" si="25"/>
        <v>0</v>
      </c>
      <c r="K92" s="706">
        <f t="shared" si="25"/>
        <v>0</v>
      </c>
      <c r="L92" s="706">
        <f t="shared" si="25"/>
        <v>0</v>
      </c>
      <c r="M92" s="706">
        <f t="shared" si="25"/>
        <v>0</v>
      </c>
      <c r="N92" s="706">
        <f t="shared" si="25"/>
        <v>0</v>
      </c>
      <c r="O92" s="706">
        <f t="shared" si="25"/>
        <v>0</v>
      </c>
      <c r="P92" s="706">
        <f t="shared" si="25"/>
        <v>1.6413801655534934E-2</v>
      </c>
      <c r="Q92" s="706">
        <f t="shared" si="25"/>
        <v>3.2827603311069875E-2</v>
      </c>
      <c r="R92" s="706">
        <f t="shared" si="25"/>
        <v>4.9241404966604806E-2</v>
      </c>
      <c r="S92" s="706">
        <f t="shared" si="25"/>
        <v>6.565520662213975E-2</v>
      </c>
      <c r="T92" s="706">
        <f t="shared" si="25"/>
        <v>8.206900827767466E-2</v>
      </c>
      <c r="U92" s="706">
        <f t="shared" si="25"/>
        <v>0.12749757560665578</v>
      </c>
      <c r="V92" s="706">
        <f t="shared" si="25"/>
        <v>0.13157332100518085</v>
      </c>
      <c r="W92" s="706">
        <f t="shared" si="25"/>
        <v>0.13577935672863617</v>
      </c>
      <c r="X92" s="706">
        <f t="shared" si="25"/>
        <v>0.14011984779890346</v>
      </c>
      <c r="Y92" s="706">
        <f t="shared" si="25"/>
        <v>0.14459909238211266</v>
      </c>
      <c r="Z92" s="706">
        <f t="shared" si="25"/>
        <v>0.14922152604489466</v>
      </c>
      <c r="AA92" s="706">
        <f t="shared" si="25"/>
        <v>0.15399172614669673</v>
      </c>
      <c r="AB92" s="706">
        <f t="shared" si="25"/>
        <v>0.15891441637250656</v>
      </c>
      <c r="AC92" s="706">
        <f t="shared" si="25"/>
        <v>0.16399447141047652</v>
      </c>
      <c r="AD92" s="706">
        <f t="shared" si="25"/>
        <v>0.16923692177907718</v>
      </c>
      <c r="AE92" s="706">
        <f t="shared" si="25"/>
        <v>0.17464695880856257</v>
      </c>
      <c r="AF92" s="706">
        <f t="shared" si="25"/>
        <v>0.18022993978167878</v>
      </c>
      <c r="AG92" s="706">
        <f t="shared" si="25"/>
        <v>0.18599139323870667</v>
      </c>
      <c r="AH92" s="706">
        <f t="shared" si="25"/>
        <v>0.19193702445209226</v>
      </c>
      <c r="AI92" s="706">
        <f t="shared" si="25"/>
        <v>0.19807272107608642</v>
      </c>
      <c r="AJ92" s="706">
        <f t="shared" si="25"/>
        <v>0</v>
      </c>
      <c r="AK92" s="706">
        <f t="shared" si="25"/>
        <v>0</v>
      </c>
      <c r="AL92" s="706">
        <f t="shared" si="25"/>
        <v>0</v>
      </c>
      <c r="AM92" s="706">
        <f t="shared" si="25"/>
        <v>0</v>
      </c>
      <c r="AN92" s="706">
        <f t="shared" si="25"/>
        <v>0</v>
      </c>
      <c r="AO92" s="706">
        <f t="shared" si="25"/>
        <v>0</v>
      </c>
      <c r="AP92" s="706">
        <f t="shared" si="25"/>
        <v>0</v>
      </c>
      <c r="AQ92" s="706">
        <f t="shared" si="25"/>
        <v>0</v>
      </c>
      <c r="AR92" s="706">
        <f t="shared" si="25"/>
        <v>0</v>
      </c>
      <c r="AS92" s="706">
        <f t="shared" si="25"/>
        <v>0</v>
      </c>
      <c r="AT92" s="706">
        <f t="shared" si="25"/>
        <v>0</v>
      </c>
    </row>
    <row r="93" spans="2:46" s="8" customFormat="1" x14ac:dyDescent="0.35">
      <c r="B93" s="8" t="s">
        <v>461</v>
      </c>
      <c r="F93" s="686">
        <f>SUM(G93:AT93)</f>
        <v>12.703350862230357</v>
      </c>
      <c r="G93" s="706">
        <f>G75-G84</f>
        <v>0</v>
      </c>
      <c r="H93" s="706">
        <f t="shared" ref="H93:AT93" si="26">H75-H84</f>
        <v>0</v>
      </c>
      <c r="I93" s="706">
        <f t="shared" si="26"/>
        <v>0</v>
      </c>
      <c r="J93" s="706">
        <f t="shared" si="26"/>
        <v>0</v>
      </c>
      <c r="K93" s="706">
        <f t="shared" si="26"/>
        <v>0</v>
      </c>
      <c r="L93" s="706">
        <f t="shared" si="26"/>
        <v>0</v>
      </c>
      <c r="M93" s="706">
        <f t="shared" si="26"/>
        <v>0</v>
      </c>
      <c r="N93" s="706">
        <f t="shared" si="26"/>
        <v>0</v>
      </c>
      <c r="O93" s="706">
        <f t="shared" si="26"/>
        <v>0</v>
      </c>
      <c r="P93" s="706">
        <f t="shared" si="26"/>
        <v>7.8623391534325002E-2</v>
      </c>
      <c r="Q93" s="706">
        <f t="shared" si="26"/>
        <v>0.15724678306864998</v>
      </c>
      <c r="R93" s="706">
        <f t="shared" si="26"/>
        <v>0.23587017460297499</v>
      </c>
      <c r="S93" s="706">
        <f t="shared" si="26"/>
        <v>0.31449356613730001</v>
      </c>
      <c r="T93" s="706">
        <f t="shared" si="26"/>
        <v>0.39311695767162497</v>
      </c>
      <c r="U93" s="706">
        <f t="shared" si="26"/>
        <v>0.61072334228060987</v>
      </c>
      <c r="V93" s="706">
        <f t="shared" si="26"/>
        <v>0.63024648097739056</v>
      </c>
      <c r="W93" s="706">
        <f t="shared" si="26"/>
        <v>0.65039372050377242</v>
      </c>
      <c r="X93" s="706">
        <f t="shared" si="26"/>
        <v>0.6711850116397774</v>
      </c>
      <c r="Y93" s="706">
        <f t="shared" si="26"/>
        <v>0.6926409429367727</v>
      </c>
      <c r="Z93" s="706">
        <f t="shared" si="26"/>
        <v>0.71478276110525285</v>
      </c>
      <c r="AA93" s="706">
        <f t="shared" si="26"/>
        <v>0.7376323920543747</v>
      </c>
      <c r="AB93" s="706">
        <f t="shared" si="26"/>
        <v>0.76121246260405917</v>
      </c>
      <c r="AC93" s="706">
        <f t="shared" si="26"/>
        <v>0.78554632289117599</v>
      </c>
      <c r="AD93" s="706">
        <f t="shared" si="26"/>
        <v>0.81065806949198627</v>
      </c>
      <c r="AE93" s="706">
        <f t="shared" si="26"/>
        <v>0.8365725692837509</v>
      </c>
      <c r="AF93" s="706">
        <f t="shared" si="26"/>
        <v>0.86331548406912506</v>
      </c>
      <c r="AG93" s="706">
        <f t="shared" si="26"/>
        <v>0.89091329598772728</v>
      </c>
      <c r="AH93" s="706">
        <f t="shared" si="26"/>
        <v>0.91939333374004661</v>
      </c>
      <c r="AI93" s="706">
        <f t="shared" si="26"/>
        <v>0.94878379964965831</v>
      </c>
      <c r="AJ93" s="706">
        <f t="shared" si="26"/>
        <v>0</v>
      </c>
      <c r="AK93" s="706">
        <f t="shared" si="26"/>
        <v>0</v>
      </c>
      <c r="AL93" s="706">
        <f t="shared" si="26"/>
        <v>0</v>
      </c>
      <c r="AM93" s="706">
        <f t="shared" si="26"/>
        <v>0</v>
      </c>
      <c r="AN93" s="706">
        <f t="shared" si="26"/>
        <v>0</v>
      </c>
      <c r="AO93" s="706">
        <f t="shared" si="26"/>
        <v>0</v>
      </c>
      <c r="AP93" s="706">
        <f t="shared" si="26"/>
        <v>0</v>
      </c>
      <c r="AQ93" s="706">
        <f t="shared" si="26"/>
        <v>0</v>
      </c>
      <c r="AR93" s="706">
        <f t="shared" si="26"/>
        <v>0</v>
      </c>
      <c r="AS93" s="706">
        <f t="shared" si="26"/>
        <v>0</v>
      </c>
      <c r="AT93" s="706">
        <f t="shared" si="26"/>
        <v>0</v>
      </c>
    </row>
    <row r="94" spans="2:46" s="8" customFormat="1" x14ac:dyDescent="0.35">
      <c r="G94" s="706"/>
      <c r="H94" s="706"/>
      <c r="I94" s="706"/>
      <c r="J94" s="706"/>
      <c r="K94" s="706"/>
      <c r="L94" s="706"/>
      <c r="M94" s="706"/>
      <c r="N94" s="706"/>
      <c r="O94" s="706"/>
      <c r="P94" s="706"/>
      <c r="Q94" s="706"/>
      <c r="R94" s="706"/>
      <c r="S94" s="706"/>
      <c r="T94" s="706"/>
      <c r="U94" s="706"/>
      <c r="V94" s="706"/>
      <c r="W94" s="706"/>
      <c r="X94" s="706"/>
      <c r="Y94" s="706"/>
      <c r="Z94" s="706"/>
      <c r="AA94" s="706"/>
      <c r="AB94" s="706"/>
      <c r="AC94" s="706"/>
      <c r="AD94" s="706"/>
      <c r="AE94" s="706"/>
      <c r="AF94" s="706"/>
      <c r="AG94" s="706"/>
      <c r="AH94" s="706"/>
      <c r="AI94" s="706"/>
      <c r="AJ94" s="706"/>
      <c r="AK94" s="706"/>
      <c r="AL94" s="706"/>
      <c r="AM94" s="706"/>
      <c r="AN94" s="706"/>
      <c r="AO94" s="706"/>
      <c r="AP94" s="706"/>
      <c r="AQ94" s="706"/>
      <c r="AR94" s="706"/>
      <c r="AS94" s="706"/>
      <c r="AT94" s="706"/>
    </row>
    <row r="95" spans="2:46" s="8" customFormat="1" x14ac:dyDescent="0.35">
      <c r="F95" s="71" t="s">
        <v>46</v>
      </c>
      <c r="G95" s="706"/>
      <c r="H95" s="706"/>
      <c r="I95" s="706"/>
      <c r="J95" s="706"/>
      <c r="K95" s="706"/>
      <c r="L95" s="706"/>
      <c r="M95" s="706"/>
      <c r="N95" s="706"/>
      <c r="O95" s="706"/>
      <c r="P95" s="706"/>
      <c r="Q95" s="706"/>
      <c r="R95" s="706"/>
      <c r="S95" s="706"/>
      <c r="T95" s="706"/>
      <c r="U95" s="706"/>
      <c r="V95" s="706"/>
      <c r="W95" s="706"/>
      <c r="X95" s="706"/>
      <c r="Y95" s="706"/>
      <c r="Z95" s="706"/>
      <c r="AA95" s="706"/>
      <c r="AB95" s="706"/>
      <c r="AC95" s="706"/>
      <c r="AD95" s="706"/>
      <c r="AE95" s="706"/>
      <c r="AF95" s="706"/>
      <c r="AG95" s="706"/>
      <c r="AH95" s="706"/>
      <c r="AI95" s="706"/>
      <c r="AJ95" s="706"/>
      <c r="AK95" s="706"/>
      <c r="AL95" s="706"/>
      <c r="AM95" s="706"/>
      <c r="AN95" s="706"/>
      <c r="AO95" s="706"/>
      <c r="AP95" s="706"/>
      <c r="AQ95" s="706"/>
      <c r="AR95" s="706"/>
      <c r="AS95" s="706"/>
      <c r="AT95" s="706"/>
    </row>
    <row r="96" spans="2:46" s="8" customFormat="1" x14ac:dyDescent="0.35">
      <c r="B96" s="8" t="s">
        <v>462</v>
      </c>
      <c r="F96" s="393">
        <f>SUM(G96:AT96)</f>
        <v>52063897.724522986</v>
      </c>
      <c r="G96" s="385">
        <f t="shared" ref="G96:AT96" si="27">G77+G78+G86+G87</f>
        <v>0</v>
      </c>
      <c r="H96" s="385">
        <f t="shared" si="27"/>
        <v>0</v>
      </c>
      <c r="I96" s="385">
        <f t="shared" si="27"/>
        <v>0</v>
      </c>
      <c r="J96" s="385">
        <f t="shared" si="27"/>
        <v>0</v>
      </c>
      <c r="K96" s="385">
        <f t="shared" si="27"/>
        <v>0</v>
      </c>
      <c r="L96" s="385">
        <f t="shared" si="27"/>
        <v>0</v>
      </c>
      <c r="M96" s="385">
        <f t="shared" si="27"/>
        <v>0</v>
      </c>
      <c r="N96" s="385">
        <f t="shared" si="27"/>
        <v>0</v>
      </c>
      <c r="O96" s="385">
        <f t="shared" si="27"/>
        <v>0</v>
      </c>
      <c r="P96" s="385">
        <f t="shared" si="27"/>
        <v>322233.10683867312</v>
      </c>
      <c r="Q96" s="385">
        <f t="shared" si="27"/>
        <v>644466.21367734624</v>
      </c>
      <c r="R96" s="385">
        <f t="shared" si="27"/>
        <v>966699.32051601924</v>
      </c>
      <c r="S96" s="385">
        <f t="shared" si="27"/>
        <v>1288932.4273546925</v>
      </c>
      <c r="T96" s="385">
        <f t="shared" si="27"/>
        <v>1611165.5341933654</v>
      </c>
      <c r="U96" s="385">
        <f t="shared" si="27"/>
        <v>2503011.8411524305</v>
      </c>
      <c r="V96" s="385">
        <f t="shared" si="27"/>
        <v>2583026.2174689174</v>
      </c>
      <c r="W96" s="385">
        <f t="shared" si="27"/>
        <v>2665598.4324308564</v>
      </c>
      <c r="X96" s="385">
        <f t="shared" si="27"/>
        <v>2750810.2530760821</v>
      </c>
      <c r="Y96" s="385">
        <f t="shared" si="27"/>
        <v>2838746.0603088373</v>
      </c>
      <c r="Z96" s="385">
        <f t="shared" si="27"/>
        <v>2929492.9324578396</v>
      </c>
      <c r="AA96" s="385">
        <f t="shared" si="27"/>
        <v>3023140.7315055085</v>
      </c>
      <c r="AB96" s="385">
        <f t="shared" si="27"/>
        <v>3119782.1920736744</v>
      </c>
      <c r="AC96" s="385">
        <f t="shared" si="27"/>
        <v>3219513.0132539407</v>
      </c>
      <c r="AD96" s="385">
        <f t="shared" si="27"/>
        <v>3322431.9533735854</v>
      </c>
      <c r="AE96" s="385">
        <f t="shared" si="27"/>
        <v>3428640.9277908863</v>
      </c>
      <c r="AF96" s="385">
        <f t="shared" si="27"/>
        <v>3538245.1098166741</v>
      </c>
      <c r="AG96" s="385">
        <f t="shared" si="27"/>
        <v>3651353.0348620871</v>
      </c>
      <c r="AH96" s="385">
        <f t="shared" si="27"/>
        <v>3768076.7079156213</v>
      </c>
      <c r="AI96" s="385">
        <f t="shared" si="27"/>
        <v>3888531.7144559543</v>
      </c>
      <c r="AJ96" s="385">
        <f t="shared" si="27"/>
        <v>0</v>
      </c>
      <c r="AK96" s="385">
        <f t="shared" si="27"/>
        <v>0</v>
      </c>
      <c r="AL96" s="385">
        <f t="shared" si="27"/>
        <v>0</v>
      </c>
      <c r="AM96" s="385">
        <f t="shared" si="27"/>
        <v>0</v>
      </c>
      <c r="AN96" s="385">
        <f t="shared" si="27"/>
        <v>0</v>
      </c>
      <c r="AO96" s="385">
        <f t="shared" si="27"/>
        <v>0</v>
      </c>
      <c r="AP96" s="385">
        <f t="shared" si="27"/>
        <v>0</v>
      </c>
      <c r="AQ96" s="385">
        <f t="shared" si="27"/>
        <v>0</v>
      </c>
      <c r="AR96" s="385">
        <f t="shared" si="27"/>
        <v>0</v>
      </c>
      <c r="AS96" s="385">
        <f t="shared" si="27"/>
        <v>0</v>
      </c>
      <c r="AT96" s="385">
        <f t="shared" si="27"/>
        <v>0</v>
      </c>
    </row>
    <row r="98" spans="1:48" ht="2.9" customHeight="1" thickBot="1" x14ac:dyDescent="0.4">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row>
  </sheetData>
  <mergeCells count="5">
    <mergeCell ref="A3:B3"/>
    <mergeCell ref="A15:B15"/>
    <mergeCell ref="A16:B16"/>
    <mergeCell ref="A17:B17"/>
    <mergeCell ref="A18:B18"/>
  </mergeCells>
  <phoneticPr fontId="26" type="noConversion"/>
  <pageMargins left="0.7" right="0.7" top="0.75" bottom="0.75" header="0.3" footer="0.3"/>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B519D-59DB-4C47-B770-7AA2D144352C}">
  <sheetPr codeName="Sheet13">
    <tabColor theme="9" tint="-0.499984740745262"/>
  </sheetPr>
  <dimension ref="A1:AV86"/>
  <sheetViews>
    <sheetView topLeftCell="A38" workbookViewId="0">
      <selection activeCell="H6" sqref="H6:H17"/>
    </sheetView>
  </sheetViews>
  <sheetFormatPr defaultRowHeight="14.5" x14ac:dyDescent="0.35"/>
  <cols>
    <col min="1" max="1" width="0.54296875" customWidth="1"/>
    <col min="2" max="2" width="40.1796875" customWidth="1"/>
    <col min="3" max="3" width="37.54296875" customWidth="1"/>
    <col min="4" max="4" width="15.54296875" customWidth="1"/>
    <col min="5" max="5" width="11.453125" customWidth="1"/>
    <col min="6" max="6" width="21" style="373" customWidth="1"/>
    <col min="7" max="7" width="27.453125" customWidth="1"/>
    <col min="8" max="8" width="13.54296875" bestFit="1" customWidth="1"/>
    <col min="9" max="10" width="14.54296875" customWidth="1"/>
    <col min="11" max="11" width="30.54296875" customWidth="1"/>
    <col min="12" max="17" width="14.54296875" customWidth="1"/>
    <col min="18" max="32" width="15" customWidth="1"/>
    <col min="33" max="34" width="14" customWidth="1"/>
    <col min="35" max="35" width="17.54296875" customWidth="1"/>
    <col min="36" max="46" width="13.54296875" customWidth="1"/>
  </cols>
  <sheetData>
    <row r="1" spans="1:42" x14ac:dyDescent="0.35">
      <c r="A1" s="1"/>
      <c r="B1" s="9" t="s">
        <v>54</v>
      </c>
      <c r="C1" s="1"/>
      <c r="D1" s="1"/>
      <c r="E1" s="1"/>
      <c r="F1" s="5"/>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x14ac:dyDescent="0.35">
      <c r="A2" s="1"/>
      <c r="B2" s="1"/>
      <c r="C2" s="1"/>
      <c r="D2" s="1"/>
      <c r="E2" s="1"/>
      <c r="F2" s="5"/>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row>
    <row r="3" spans="1:42" x14ac:dyDescent="0.35">
      <c r="A3" s="793"/>
      <c r="B3" s="793"/>
      <c r="C3" s="1"/>
      <c r="D3" s="1"/>
      <c r="E3" s="1"/>
      <c r="F3" s="5"/>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row>
    <row r="4" spans="1:42" x14ac:dyDescent="0.35">
      <c r="A4" s="1"/>
      <c r="B4" s="2" t="s">
        <v>35</v>
      </c>
      <c r="C4" s="2" t="s">
        <v>36</v>
      </c>
      <c r="D4" s="1"/>
      <c r="E4" s="1"/>
      <c r="F4" s="5"/>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row>
    <row r="5" spans="1:42" x14ac:dyDescent="0.35">
      <c r="A5" s="1"/>
      <c r="B5" s="1" t="s">
        <v>37</v>
      </c>
      <c r="C5" s="1">
        <f>Inputs!D8</f>
        <v>2024</v>
      </c>
      <c r="D5" s="1"/>
      <c r="E5" s="1"/>
      <c r="F5" s="5"/>
      <c r="G5" s="2" t="s">
        <v>35</v>
      </c>
      <c r="H5" s="2" t="s">
        <v>36</v>
      </c>
      <c r="I5" s="2" t="s">
        <v>430</v>
      </c>
      <c r="J5" s="1"/>
      <c r="K5" s="2" t="s">
        <v>35</v>
      </c>
      <c r="L5" s="2" t="s">
        <v>36</v>
      </c>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row>
    <row r="6" spans="1:42" x14ac:dyDescent="0.35">
      <c r="A6" s="1"/>
      <c r="B6" s="1" t="s">
        <v>38</v>
      </c>
      <c r="C6" s="1">
        <f>Inputs!D11</f>
        <v>2033</v>
      </c>
      <c r="D6" s="1"/>
      <c r="E6" s="1"/>
      <c r="F6" s="5"/>
      <c r="G6" t="str">
        <f>Inputs!B25</f>
        <v>Tons per Container Assumption</v>
      </c>
      <c r="H6" s="373">
        <f>Inputs!D25</f>
        <v>19</v>
      </c>
      <c r="I6" s="373" t="s">
        <v>118</v>
      </c>
      <c r="J6" s="1"/>
      <c r="K6" s="167" t="s">
        <v>429</v>
      </c>
      <c r="L6" s="1">
        <v>-1</v>
      </c>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row>
    <row r="7" spans="1:42" ht="15" thickBot="1" x14ac:dyDescent="0.4">
      <c r="A7" s="1"/>
      <c r="B7" s="1" t="s">
        <v>39</v>
      </c>
      <c r="C7" s="1">
        <f>Inputs!D13</f>
        <v>2052</v>
      </c>
      <c r="D7" s="1"/>
      <c r="E7" s="1"/>
      <c r="F7" s="5"/>
      <c r="G7" t="str">
        <f>Inputs!B48</f>
        <v>Train Efficiency Metric (TMPG)</v>
      </c>
      <c r="H7" s="373">
        <f>Inputs!D48</f>
        <v>535</v>
      </c>
      <c r="I7" s="373" t="str">
        <f>Inputs!C48</f>
        <v>ton-mile per gallon</v>
      </c>
      <c r="J7" s="3"/>
      <c r="K7" s="4"/>
      <c r="L7" s="4"/>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row>
    <row r="8" spans="1:42" x14ac:dyDescent="0.35">
      <c r="A8" s="1"/>
      <c r="B8" s="1" t="s">
        <v>40</v>
      </c>
      <c r="C8" s="1">
        <f>Inputs!D14</f>
        <v>20</v>
      </c>
      <c r="D8" s="1"/>
      <c r="E8" s="1"/>
      <c r="F8" s="5"/>
      <c r="G8" s="57" t="str">
        <f>Inputs!B75</f>
        <v>Truck - SOx</v>
      </c>
      <c r="H8" s="675" t="s">
        <v>29</v>
      </c>
      <c r="I8" s="373" t="str">
        <f>Inputs!C75</f>
        <v>g/mile</v>
      </c>
      <c r="J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row>
    <row r="9" spans="1:42" x14ac:dyDescent="0.35">
      <c r="A9" s="1"/>
      <c r="B9" s="1" t="s">
        <v>41</v>
      </c>
      <c r="C9" s="10">
        <f>Inputs!D15</f>
        <v>7.0000000000000007E-2</v>
      </c>
      <c r="D9" s="1"/>
      <c r="E9" s="1"/>
      <c r="F9" s="5"/>
      <c r="G9" s="57" t="str">
        <f>Inputs!B76</f>
        <v>Truck - Nox</v>
      </c>
      <c r="H9" s="675" t="s">
        <v>29</v>
      </c>
      <c r="I9" s="373" t="str">
        <f>Inputs!C76</f>
        <v>g/mile</v>
      </c>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row>
    <row r="10" spans="1:42" ht="15" thickBot="1" x14ac:dyDescent="0.4">
      <c r="A10" s="1"/>
      <c r="B10" s="4"/>
      <c r="C10" s="4"/>
      <c r="D10" s="1"/>
      <c r="E10" s="1"/>
      <c r="F10" s="5"/>
      <c r="G10" s="57" t="str">
        <f>Inputs!B77</f>
        <v>Truck - PM2.5</v>
      </c>
      <c r="H10" s="675" t="s">
        <v>29</v>
      </c>
      <c r="I10" s="373" t="str">
        <f>Inputs!C77</f>
        <v>g/mile</v>
      </c>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row>
    <row r="11" spans="1:42" x14ac:dyDescent="0.35">
      <c r="A11" s="1"/>
      <c r="B11" s="28"/>
      <c r="C11" s="28"/>
      <c r="D11" s="1"/>
      <c r="E11" s="1"/>
      <c r="F11" s="5"/>
      <c r="G11" s="57" t="str">
        <f>Inputs!B80</f>
        <v>Rail - Nox</v>
      </c>
      <c r="H11" s="686">
        <f>Inputs!D80</f>
        <v>20.8</v>
      </c>
      <c r="I11" s="373" t="str">
        <f>Inputs!C80</f>
        <v>g/gallon</v>
      </c>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row>
    <row r="12" spans="1:42" x14ac:dyDescent="0.35">
      <c r="A12" s="1"/>
      <c r="B12" s="28"/>
      <c r="C12" s="28"/>
      <c r="D12" s="1"/>
      <c r="E12" s="1"/>
      <c r="F12" s="5"/>
      <c r="G12" s="57" t="str">
        <f>Inputs!B81</f>
        <v>Rail - PM2.5</v>
      </c>
      <c r="H12" s="686">
        <f>Inputs!D81</f>
        <v>0.30264000000000002</v>
      </c>
      <c r="I12" s="373" t="str">
        <f>Inputs!C81</f>
        <v>g/gallon</v>
      </c>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row>
    <row r="13" spans="1:42" x14ac:dyDescent="0.35">
      <c r="A13" s="1"/>
      <c r="B13" s="28"/>
      <c r="C13" s="28"/>
      <c r="D13" s="1"/>
      <c r="E13" s="1"/>
      <c r="F13" s="5"/>
      <c r="G13" s="57" t="str">
        <f>Inputs!B82</f>
        <v>Rail - SOx</v>
      </c>
      <c r="H13" s="686">
        <f>Inputs!D82</f>
        <v>9.3899999999999997E-2</v>
      </c>
      <c r="I13" s="373" t="str">
        <f>Inputs!C82</f>
        <v>g/gallon</v>
      </c>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row>
    <row r="14" spans="1:42" x14ac:dyDescent="0.35">
      <c r="A14" s="1"/>
      <c r="B14" s="28"/>
      <c r="C14" s="28"/>
      <c r="D14" s="1"/>
      <c r="E14" s="1"/>
      <c r="F14" s="5"/>
      <c r="G14" s="57" t="str">
        <f>Inputs!B136</f>
        <v>Buses and Trucks - Weighted Average- Emissions</v>
      </c>
      <c r="H14" s="687">
        <f>Inputs!D136</f>
        <v>3.7999999999999999E-2</v>
      </c>
      <c r="I14" s="373" t="s">
        <v>234</v>
      </c>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row>
    <row r="15" spans="1:42" x14ac:dyDescent="0.35">
      <c r="A15" s="1"/>
      <c r="B15" s="28"/>
      <c r="C15" s="28"/>
      <c r="D15" s="1"/>
      <c r="E15" s="1"/>
      <c r="F15" s="5"/>
      <c r="G15" s="57" t="str">
        <f>Inputs!B133</f>
        <v>Buses and Trucks - Weighted Average- Noise</v>
      </c>
      <c r="H15" s="687">
        <f>Inputs!D133</f>
        <v>1.242E-2</v>
      </c>
      <c r="I15" s="373" t="s">
        <v>234</v>
      </c>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row>
    <row r="16" spans="1:42" x14ac:dyDescent="0.35">
      <c r="A16" s="1"/>
      <c r="B16" s="28"/>
      <c r="C16" s="28"/>
      <c r="D16" s="1"/>
      <c r="E16" s="1"/>
      <c r="F16" s="5"/>
      <c r="G16" s="27" t="str">
        <f>Inputs!B6</f>
        <v>Short Ton to Metric Ton</v>
      </c>
      <c r="H16" s="688">
        <f>Inputs!D6</f>
        <v>0.90718500000000002</v>
      </c>
      <c r="I16" t="s">
        <v>89</v>
      </c>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row>
    <row r="17" spans="1:46" ht="15" thickBot="1" x14ac:dyDescent="0.4">
      <c r="A17" s="1"/>
      <c r="B17" s="28"/>
      <c r="C17" s="28"/>
      <c r="D17" s="1"/>
      <c r="E17" s="1"/>
      <c r="F17" s="5"/>
      <c r="G17" s="4" t="str">
        <f>Inputs!B5</f>
        <v>Metric Ton to Gram</v>
      </c>
      <c r="H17" s="512">
        <f>Inputs!D5</f>
        <v>1000000</v>
      </c>
      <c r="I17" s="4" t="s">
        <v>463</v>
      </c>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row>
    <row r="18" spans="1:46" x14ac:dyDescent="0.35">
      <c r="A18" s="1"/>
      <c r="B18" s="28"/>
      <c r="C18" s="28"/>
      <c r="D18" s="1"/>
      <c r="E18" s="1"/>
      <c r="F18" s="5"/>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row>
    <row r="19" spans="1:46" x14ac:dyDescent="0.35">
      <c r="A19" s="1"/>
      <c r="B19" s="28"/>
      <c r="C19" s="28"/>
      <c r="D19" s="1"/>
      <c r="E19" s="1"/>
      <c r="F19" s="5"/>
      <c r="G19" s="57"/>
      <c r="H19" s="13"/>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row>
    <row r="20" spans="1:46" x14ac:dyDescent="0.35">
      <c r="A20" s="1"/>
      <c r="B20" s="28"/>
      <c r="C20" s="28"/>
      <c r="D20" s="1"/>
      <c r="E20" s="1"/>
      <c r="F20" s="5"/>
      <c r="G20" s="57"/>
      <c r="H20" s="13"/>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row>
    <row r="21" spans="1:46" x14ac:dyDescent="0.35">
      <c r="A21" s="1"/>
      <c r="B21" s="28"/>
      <c r="C21" s="28"/>
      <c r="D21" s="1"/>
      <c r="E21" s="1"/>
      <c r="F21" s="5"/>
      <c r="G21" s="57"/>
      <c r="H21" s="13"/>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row>
    <row r="22" spans="1:46" ht="6" customHeight="1" thickBot="1" x14ac:dyDescent="0.4">
      <c r="A22" s="4"/>
      <c r="B22" s="28"/>
      <c r="C22" s="28"/>
      <c r="D22" s="1"/>
      <c r="E22" s="1"/>
      <c r="F22" s="5"/>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row>
    <row r="23" spans="1:46" ht="12" customHeight="1" x14ac:dyDescent="0.35">
      <c r="A23" s="28"/>
      <c r="D23" s="1"/>
      <c r="E23" s="1"/>
      <c r="F23" s="5"/>
      <c r="G23" s="28"/>
      <c r="H23" s="28"/>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row>
    <row r="24" spans="1:46" ht="12" customHeight="1" x14ac:dyDescent="0.35">
      <c r="A24" s="28"/>
      <c r="B24" s="28"/>
      <c r="C24" s="28"/>
      <c r="D24" s="1"/>
      <c r="E24" s="1"/>
      <c r="F24" s="5"/>
      <c r="G24" s="28"/>
      <c r="H24" s="28"/>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row>
    <row r="25" spans="1:46" ht="12" customHeight="1" x14ac:dyDescent="0.35">
      <c r="A25" s="28"/>
      <c r="B25" s="28"/>
      <c r="C25" s="28"/>
      <c r="D25" s="1"/>
      <c r="E25" s="1"/>
      <c r="F25" s="5"/>
      <c r="G25" s="28"/>
      <c r="H25" s="28"/>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row>
    <row r="26" spans="1:46" x14ac:dyDescent="0.35">
      <c r="A26" s="793"/>
      <c r="B26" s="793"/>
      <c r="C26" s="1"/>
      <c r="D26" s="1"/>
      <c r="E26" s="1"/>
      <c r="F26" s="5"/>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row>
    <row r="27" spans="1:46" x14ac:dyDescent="0.35">
      <c r="A27" s="794" t="s">
        <v>42</v>
      </c>
      <c r="B27" s="794"/>
      <c r="C27" s="2"/>
      <c r="D27" s="2"/>
      <c r="E27" s="2"/>
      <c r="F27" s="63"/>
      <c r="G27" s="2">
        <f>C5</f>
        <v>2024</v>
      </c>
      <c r="H27" s="2">
        <f>G27+1</f>
        <v>2025</v>
      </c>
      <c r="I27" s="2">
        <f t="shared" ref="I27:AT27" si="0">H27+1</f>
        <v>2026</v>
      </c>
      <c r="J27" s="2">
        <f t="shared" si="0"/>
        <v>2027</v>
      </c>
      <c r="K27" s="2">
        <f t="shared" si="0"/>
        <v>2028</v>
      </c>
      <c r="L27" s="2">
        <f t="shared" si="0"/>
        <v>2029</v>
      </c>
      <c r="M27" s="2">
        <f t="shared" si="0"/>
        <v>2030</v>
      </c>
      <c r="N27" s="2">
        <f t="shared" si="0"/>
        <v>2031</v>
      </c>
      <c r="O27" s="2">
        <f t="shared" si="0"/>
        <v>2032</v>
      </c>
      <c r="P27" s="2">
        <f t="shared" si="0"/>
        <v>2033</v>
      </c>
      <c r="Q27" s="2">
        <f t="shared" si="0"/>
        <v>2034</v>
      </c>
      <c r="R27" s="2">
        <f t="shared" si="0"/>
        <v>2035</v>
      </c>
      <c r="S27" s="2">
        <f t="shared" si="0"/>
        <v>2036</v>
      </c>
      <c r="T27" s="2">
        <f t="shared" si="0"/>
        <v>2037</v>
      </c>
      <c r="U27" s="2">
        <f t="shared" si="0"/>
        <v>2038</v>
      </c>
      <c r="V27" s="2">
        <f t="shared" si="0"/>
        <v>2039</v>
      </c>
      <c r="W27" s="2">
        <f t="shared" si="0"/>
        <v>2040</v>
      </c>
      <c r="X27" s="2">
        <f t="shared" si="0"/>
        <v>2041</v>
      </c>
      <c r="Y27" s="2">
        <f t="shared" si="0"/>
        <v>2042</v>
      </c>
      <c r="Z27" s="2">
        <f t="shared" si="0"/>
        <v>2043</v>
      </c>
      <c r="AA27" s="2">
        <f t="shared" si="0"/>
        <v>2044</v>
      </c>
      <c r="AB27" s="2">
        <f t="shared" si="0"/>
        <v>2045</v>
      </c>
      <c r="AC27" s="2">
        <f t="shared" si="0"/>
        <v>2046</v>
      </c>
      <c r="AD27" s="2">
        <f t="shared" si="0"/>
        <v>2047</v>
      </c>
      <c r="AE27" s="2">
        <f t="shared" si="0"/>
        <v>2048</v>
      </c>
      <c r="AF27" s="2">
        <f t="shared" si="0"/>
        <v>2049</v>
      </c>
      <c r="AG27" s="2">
        <f t="shared" si="0"/>
        <v>2050</v>
      </c>
      <c r="AH27" s="2">
        <f t="shared" si="0"/>
        <v>2051</v>
      </c>
      <c r="AI27" s="2">
        <f t="shared" si="0"/>
        <v>2052</v>
      </c>
      <c r="AJ27" s="2">
        <f t="shared" si="0"/>
        <v>2053</v>
      </c>
      <c r="AK27" s="2">
        <f t="shared" si="0"/>
        <v>2054</v>
      </c>
      <c r="AL27" s="2">
        <f t="shared" si="0"/>
        <v>2055</v>
      </c>
      <c r="AM27" s="2">
        <f t="shared" si="0"/>
        <v>2056</v>
      </c>
      <c r="AN27" s="2">
        <f t="shared" si="0"/>
        <v>2057</v>
      </c>
      <c r="AO27" s="2">
        <f t="shared" si="0"/>
        <v>2058</v>
      </c>
      <c r="AP27" s="2">
        <f t="shared" si="0"/>
        <v>2059</v>
      </c>
      <c r="AQ27" s="2">
        <f t="shared" si="0"/>
        <v>2060</v>
      </c>
      <c r="AR27" s="2">
        <f t="shared" si="0"/>
        <v>2061</v>
      </c>
      <c r="AS27" s="2">
        <f t="shared" si="0"/>
        <v>2062</v>
      </c>
      <c r="AT27" s="2">
        <f t="shared" si="0"/>
        <v>2063</v>
      </c>
    </row>
    <row r="28" spans="1:46" x14ac:dyDescent="0.35">
      <c r="A28" s="794" t="s">
        <v>286</v>
      </c>
      <c r="B28" s="794"/>
      <c r="C28" s="1"/>
      <c r="D28" s="1"/>
      <c r="E28" s="1"/>
      <c r="F28" s="5"/>
      <c r="G28" s="11">
        <f t="shared" ref="G28:AT28" si="1">IF(G27="","",1/((1+$C$9)^(G27-$C$5)))</f>
        <v>1</v>
      </c>
      <c r="H28" s="11">
        <f t="shared" si="1"/>
        <v>0.93457943925233644</v>
      </c>
      <c r="I28" s="11">
        <f t="shared" si="1"/>
        <v>0.87343872827321156</v>
      </c>
      <c r="J28" s="11">
        <f t="shared" si="1"/>
        <v>0.81629787689085187</v>
      </c>
      <c r="K28" s="11">
        <f t="shared" si="1"/>
        <v>0.7628952120475252</v>
      </c>
      <c r="L28" s="11">
        <f t="shared" si="1"/>
        <v>0.71298617948366838</v>
      </c>
      <c r="M28" s="11">
        <f t="shared" si="1"/>
        <v>0.66634222381651254</v>
      </c>
      <c r="N28" s="11">
        <f t="shared" si="1"/>
        <v>0.62274974188459109</v>
      </c>
      <c r="O28" s="11">
        <f t="shared" si="1"/>
        <v>0.5820091045650384</v>
      </c>
      <c r="P28" s="11">
        <f t="shared" si="1"/>
        <v>0.54393374258414806</v>
      </c>
      <c r="Q28" s="11">
        <f t="shared" si="1"/>
        <v>0.5083492921347178</v>
      </c>
      <c r="R28" s="11">
        <f t="shared" si="1"/>
        <v>0.47509279638758667</v>
      </c>
      <c r="S28" s="11">
        <f t="shared" si="1"/>
        <v>0.44401195924073528</v>
      </c>
      <c r="T28" s="11">
        <f t="shared" si="1"/>
        <v>0.41496444788853759</v>
      </c>
      <c r="U28" s="11">
        <f t="shared" si="1"/>
        <v>0.3878172410173249</v>
      </c>
      <c r="V28" s="11">
        <f t="shared" si="1"/>
        <v>0.36244601964235967</v>
      </c>
      <c r="W28" s="11">
        <f t="shared" si="1"/>
        <v>0.33873459779659787</v>
      </c>
      <c r="X28" s="11">
        <f t="shared" si="1"/>
        <v>0.31657439046411018</v>
      </c>
      <c r="Y28" s="11">
        <f t="shared" si="1"/>
        <v>0.29586391632159825</v>
      </c>
      <c r="Z28" s="11">
        <f t="shared" si="1"/>
        <v>0.27650833301083949</v>
      </c>
      <c r="AA28" s="11">
        <f t="shared" si="1"/>
        <v>0.2584190028138687</v>
      </c>
      <c r="AB28" s="11">
        <f t="shared" si="1"/>
        <v>0.24151308674193336</v>
      </c>
      <c r="AC28" s="11">
        <f t="shared" si="1"/>
        <v>0.22571316517937698</v>
      </c>
      <c r="AD28" s="11">
        <f t="shared" si="1"/>
        <v>0.21094688334521211</v>
      </c>
      <c r="AE28" s="11">
        <f t="shared" si="1"/>
        <v>0.19714661994879637</v>
      </c>
      <c r="AF28" s="11">
        <f t="shared" si="1"/>
        <v>0.18424917752223957</v>
      </c>
      <c r="AG28" s="11">
        <f t="shared" si="1"/>
        <v>0.17219549301143888</v>
      </c>
      <c r="AH28" s="11">
        <f t="shared" si="1"/>
        <v>0.16093036730041013</v>
      </c>
      <c r="AI28" s="11">
        <f t="shared" si="1"/>
        <v>0.15040221243028987</v>
      </c>
      <c r="AJ28" s="11">
        <f t="shared" si="1"/>
        <v>0.1405628153554111</v>
      </c>
      <c r="AK28" s="11">
        <f t="shared" si="1"/>
        <v>0.13136711715458982</v>
      </c>
      <c r="AL28" s="11">
        <f t="shared" si="1"/>
        <v>0.1227730066865325</v>
      </c>
      <c r="AM28" s="11">
        <f t="shared" si="1"/>
        <v>0.11474112774442291</v>
      </c>
      <c r="AN28" s="11">
        <f t="shared" si="1"/>
        <v>0.10723469882656347</v>
      </c>
      <c r="AO28" s="11">
        <f t="shared" si="1"/>
        <v>0.10021934469772288</v>
      </c>
      <c r="AP28" s="11">
        <f t="shared" si="1"/>
        <v>9.366293896983445E-2</v>
      </c>
      <c r="AQ28" s="11">
        <f t="shared" si="1"/>
        <v>8.7535456981153698E-2</v>
      </c>
      <c r="AR28" s="11">
        <f t="shared" si="1"/>
        <v>8.1808838300143641E-2</v>
      </c>
      <c r="AS28" s="11">
        <f t="shared" si="1"/>
        <v>7.6456858224433308E-2</v>
      </c>
      <c r="AT28" s="11">
        <f t="shared" si="1"/>
        <v>7.1455007686386268E-2</v>
      </c>
    </row>
    <row r="29" spans="1:46" x14ac:dyDescent="0.35">
      <c r="A29" s="794" t="s">
        <v>44</v>
      </c>
      <c r="B29" s="794"/>
      <c r="G29" s="82">
        <f>IF(AND(G23&gt;=$C$6,G23&lt;=$C$7),1,0)</f>
        <v>0</v>
      </c>
      <c r="H29" s="83">
        <f t="shared" ref="H29:AT29" si="2">IF(AND(H27&gt;=$C$6,H27&lt;=$C$7),1,0)</f>
        <v>0</v>
      </c>
      <c r="I29" s="83">
        <f t="shared" si="2"/>
        <v>0</v>
      </c>
      <c r="J29" s="83">
        <f t="shared" si="2"/>
        <v>0</v>
      </c>
      <c r="K29" s="83">
        <f t="shared" si="2"/>
        <v>0</v>
      </c>
      <c r="L29" s="83">
        <f t="shared" si="2"/>
        <v>0</v>
      </c>
      <c r="M29" s="83">
        <f t="shared" si="2"/>
        <v>0</v>
      </c>
      <c r="N29">
        <f t="shared" si="2"/>
        <v>0</v>
      </c>
      <c r="O29">
        <f t="shared" si="2"/>
        <v>0</v>
      </c>
      <c r="P29">
        <f t="shared" si="2"/>
        <v>1</v>
      </c>
      <c r="Q29">
        <f t="shared" si="2"/>
        <v>1</v>
      </c>
      <c r="R29">
        <f t="shared" si="2"/>
        <v>1</v>
      </c>
      <c r="S29">
        <f t="shared" si="2"/>
        <v>1</v>
      </c>
      <c r="T29">
        <f t="shared" si="2"/>
        <v>1</v>
      </c>
      <c r="U29">
        <f t="shared" si="2"/>
        <v>1</v>
      </c>
      <c r="V29">
        <f t="shared" si="2"/>
        <v>1</v>
      </c>
      <c r="W29">
        <f t="shared" si="2"/>
        <v>1</v>
      </c>
      <c r="X29">
        <f t="shared" si="2"/>
        <v>1</v>
      </c>
      <c r="Y29">
        <f t="shared" si="2"/>
        <v>1</v>
      </c>
      <c r="Z29">
        <f t="shared" si="2"/>
        <v>1</v>
      </c>
      <c r="AA29">
        <f t="shared" si="2"/>
        <v>1</v>
      </c>
      <c r="AB29">
        <f t="shared" si="2"/>
        <v>1</v>
      </c>
      <c r="AC29">
        <f t="shared" si="2"/>
        <v>1</v>
      </c>
      <c r="AD29">
        <f t="shared" si="2"/>
        <v>1</v>
      </c>
      <c r="AE29">
        <f t="shared" si="2"/>
        <v>1</v>
      </c>
      <c r="AF29">
        <f t="shared" si="2"/>
        <v>1</v>
      </c>
      <c r="AG29">
        <f t="shared" si="2"/>
        <v>1</v>
      </c>
      <c r="AH29">
        <f t="shared" si="2"/>
        <v>1</v>
      </c>
      <c r="AI29">
        <f t="shared" si="2"/>
        <v>1</v>
      </c>
      <c r="AJ29">
        <f t="shared" si="2"/>
        <v>0</v>
      </c>
      <c r="AK29">
        <f t="shared" si="2"/>
        <v>0</v>
      </c>
      <c r="AL29">
        <f t="shared" si="2"/>
        <v>0</v>
      </c>
      <c r="AM29">
        <f t="shared" si="2"/>
        <v>0</v>
      </c>
      <c r="AN29">
        <f t="shared" si="2"/>
        <v>0</v>
      </c>
      <c r="AO29">
        <f t="shared" si="2"/>
        <v>0</v>
      </c>
      <c r="AP29">
        <f t="shared" si="2"/>
        <v>0</v>
      </c>
      <c r="AQ29">
        <f t="shared" si="2"/>
        <v>0</v>
      </c>
      <c r="AR29">
        <f t="shared" si="2"/>
        <v>0</v>
      </c>
      <c r="AS29">
        <f t="shared" si="2"/>
        <v>0</v>
      </c>
      <c r="AT29">
        <f t="shared" si="2"/>
        <v>0</v>
      </c>
    </row>
    <row r="30" spans="1:46" ht="4.4000000000000004" customHeight="1" thickBot="1" x14ac:dyDescent="0.4">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row>
    <row r="31" spans="1:46" x14ac:dyDescent="0.35">
      <c r="A31" s="371" t="s">
        <v>429</v>
      </c>
      <c r="B31" s="372"/>
    </row>
    <row r="32" spans="1:46" s="374" customFormat="1" x14ac:dyDescent="0.35">
      <c r="F32" s="625"/>
    </row>
    <row r="33" spans="1:46" x14ac:dyDescent="0.35">
      <c r="A33" s="8" t="s">
        <v>178</v>
      </c>
      <c r="D33" t="s">
        <v>418</v>
      </c>
      <c r="F33" s="71" t="s">
        <v>46</v>
      </c>
    </row>
    <row r="34" spans="1:46" x14ac:dyDescent="0.35">
      <c r="B34" s="8" t="s">
        <v>419</v>
      </c>
      <c r="C34" s="34"/>
      <c r="D34" s="64">
        <f>Inputs!$D$22</f>
        <v>3.1967238428903366E-2</v>
      </c>
      <c r="F34" s="386">
        <f>'Traffic Calcs'!F55</f>
        <v>-196960852.69814545</v>
      </c>
      <c r="G34" s="165">
        <f>'Traffic Calcs'!G55*$L$6</f>
        <v>0</v>
      </c>
      <c r="H34" s="165">
        <f>'Traffic Calcs'!H55*$L$6</f>
        <v>0</v>
      </c>
      <c r="I34" s="165">
        <f>'Traffic Calcs'!I55*$L$6</f>
        <v>0</v>
      </c>
      <c r="J34" s="165">
        <f>'Traffic Calcs'!J55*$L$6</f>
        <v>0</v>
      </c>
      <c r="K34" s="165">
        <f>'Traffic Calcs'!K55*$L$6</f>
        <v>0</v>
      </c>
      <c r="L34" s="165">
        <f>'Traffic Calcs'!L55*$L$6</f>
        <v>0</v>
      </c>
      <c r="M34" s="165">
        <f>'Traffic Calcs'!M55*$L$6</f>
        <v>0</v>
      </c>
      <c r="N34" s="165">
        <f>'Traffic Calcs'!N55*$L$6</f>
        <v>0</v>
      </c>
      <c r="O34" s="165">
        <f>'Traffic Calcs'!O55*$L$6</f>
        <v>0</v>
      </c>
      <c r="P34" s="165">
        <f>'Traffic Calcs'!P55*$L$6</f>
        <v>1219027.2005052641</v>
      </c>
      <c r="Q34" s="165">
        <f>'Traffic Calcs'!Q55*$L$6</f>
        <v>2438054.4010105282</v>
      </c>
      <c r="R34" s="165">
        <f>'Traffic Calcs'!R55*$L$6</f>
        <v>3657081.6015157923</v>
      </c>
      <c r="S34" s="165">
        <f>'Traffic Calcs'!S55*$L$6</f>
        <v>4876108.8020210564</v>
      </c>
      <c r="T34" s="165">
        <f>'Traffic Calcs'!T55*$L$6</f>
        <v>6095136.0025263205</v>
      </c>
      <c r="U34" s="165">
        <f>'Traffic Calcs'!U55*$L$6</f>
        <v>9469044.1571516916</v>
      </c>
      <c r="V34" s="165">
        <f>'Traffic Calcs'!V55*$L$6</f>
        <v>9771743.3494171724</v>
      </c>
      <c r="W34" s="165">
        <f>'Traffic Calcs'!W55*$L$6</f>
        <v>10084118.998934045</v>
      </c>
      <c r="X34" s="165">
        <f>'Traffic Calcs'!X55*$L$6</f>
        <v>10406480.435318395</v>
      </c>
      <c r="Y34" s="165">
        <f>'Traffic Calcs'!Y55*$L$6</f>
        <v>10739146.876599938</v>
      </c>
      <c r="Z34" s="165">
        <f>'Traffic Calcs'!Z55*$L$6</f>
        <v>11082447.745327219</v>
      </c>
      <c r="AA34" s="165">
        <f>'Traffic Calcs'!AA55*$L$6</f>
        <v>11436722.994777963</v>
      </c>
      <c r="AB34" s="165">
        <f>'Traffic Calcs'!AB55*$L$6</f>
        <v>11802323.445597351</v>
      </c>
      <c r="AC34" s="165">
        <f>'Traffic Calcs'!AC55*$L$6</f>
        <v>12179611.133197799</v>
      </c>
      <c r="AD34" s="165">
        <f>'Traffic Calcs'!AD55*$L$6</f>
        <v>12568959.666264057</v>
      </c>
      <c r="AE34" s="165">
        <f>'Traffic Calcs'!AE55*$L$6</f>
        <v>12970754.596718788</v>
      </c>
      <c r="AF34" s="165">
        <f>'Traffic Calcs'!AF55*$L$6</f>
        <v>13385393.801514894</v>
      </c>
      <c r="AG34" s="165">
        <f>'Traffic Calcs'!AG55*$L$6</f>
        <v>13813287.87663269</v>
      </c>
      <c r="AH34" s="165">
        <f>'Traffic Calcs'!AH55*$L$6</f>
        <v>14254860.543672085</v>
      </c>
      <c r="AI34" s="165">
        <f>'Traffic Calcs'!AI55*$L$6</f>
        <v>14710549.069442406</v>
      </c>
      <c r="AJ34" s="165">
        <f>'Traffic Calcs'!AJ55*$L$6</f>
        <v>0</v>
      </c>
      <c r="AK34" s="165">
        <f>'Traffic Calcs'!AK55*$L$6</f>
        <v>0</v>
      </c>
      <c r="AL34" s="165">
        <f>'Traffic Calcs'!AL55*$L$6</f>
        <v>0</v>
      </c>
      <c r="AM34" s="165">
        <f>'Traffic Calcs'!AM55*$L$6</f>
        <v>0</v>
      </c>
      <c r="AN34" s="165">
        <f>'Traffic Calcs'!AN55*$L$6</f>
        <v>0</v>
      </c>
      <c r="AO34" s="165">
        <f>'Traffic Calcs'!AO55*$L$6</f>
        <v>0</v>
      </c>
      <c r="AP34" s="165">
        <f>'Traffic Calcs'!AP55*$L$6</f>
        <v>0</v>
      </c>
      <c r="AQ34" s="165">
        <f>'Traffic Calcs'!AQ55*$L$6</f>
        <v>0</v>
      </c>
      <c r="AR34" s="165">
        <f>'Traffic Calcs'!AR55*$L$6</f>
        <v>0</v>
      </c>
      <c r="AS34" s="165">
        <f>'Traffic Calcs'!AS55*$L$6</f>
        <v>0</v>
      </c>
      <c r="AT34" s="165">
        <f>'Traffic Calcs'!AT55*$L$6</f>
        <v>0</v>
      </c>
    </row>
    <row r="35" spans="1:46" x14ac:dyDescent="0.35">
      <c r="B35" s="8" t="s">
        <v>420</v>
      </c>
      <c r="F35" s="386">
        <f>'Traffic Calcs'!F56</f>
        <v>-3581106.4126935536</v>
      </c>
      <c r="G35" s="165">
        <f>'Traffic Calcs'!G56</f>
        <v>0</v>
      </c>
      <c r="H35" s="165">
        <f>'Traffic Calcs'!H56</f>
        <v>0</v>
      </c>
      <c r="I35" s="165">
        <f>'Traffic Calcs'!I56</f>
        <v>0</v>
      </c>
      <c r="J35" s="165">
        <f>'Traffic Calcs'!J56</f>
        <v>0</v>
      </c>
      <c r="K35" s="165">
        <f>'Traffic Calcs'!K56</f>
        <v>0</v>
      </c>
      <c r="L35" s="165">
        <f>'Traffic Calcs'!L56</f>
        <v>0</v>
      </c>
      <c r="M35" s="165">
        <f>'Traffic Calcs'!M56</f>
        <v>0</v>
      </c>
      <c r="N35" s="165">
        <f>'Traffic Calcs'!N56</f>
        <v>0</v>
      </c>
      <c r="O35" s="165">
        <f>'Traffic Calcs'!O56</f>
        <v>0</v>
      </c>
      <c r="P35" s="165">
        <f>'Traffic Calcs'!P56</f>
        <v>-22164.130918277428</v>
      </c>
      <c r="Q35" s="165">
        <f>'Traffic Calcs'!Q56</f>
        <v>-44328.261836555088</v>
      </c>
      <c r="R35" s="165">
        <f>'Traffic Calcs'!R56</f>
        <v>-66492.392754832515</v>
      </c>
      <c r="S35" s="165">
        <f>'Traffic Calcs'!S56</f>
        <v>-88656.523673109943</v>
      </c>
      <c r="T35" s="165">
        <f>'Traffic Calcs'!T56</f>
        <v>-110820.6545913876</v>
      </c>
      <c r="U35" s="165">
        <f>'Traffic Calcs'!U56</f>
        <v>-172164.43922094</v>
      </c>
      <c r="V35" s="165">
        <f>'Traffic Calcs'!V56</f>
        <v>-177668.06089849398</v>
      </c>
      <c r="W35" s="165">
        <f>'Traffic Calcs'!W56</f>
        <v>-183347.61816243734</v>
      </c>
      <c r="X35" s="165">
        <f>'Traffic Calcs'!X56</f>
        <v>-189208.73518760735</v>
      </c>
      <c r="Y35" s="165">
        <f>'Traffic Calcs'!Y56</f>
        <v>-195257.21593818069</v>
      </c>
      <c r="Z35" s="165">
        <f>'Traffic Calcs'!Z56</f>
        <v>-201499.04991504038</v>
      </c>
      <c r="AA35" s="165">
        <f>'Traffic Calcs'!AA56</f>
        <v>-207940.41808687197</v>
      </c>
      <c r="AB35" s="165">
        <f>'Traffic Calcs'!AB56</f>
        <v>-214587.69901086087</v>
      </c>
      <c r="AC35" s="165">
        <f>'Traffic Calcs'!AC56</f>
        <v>-221447.47514905082</v>
      </c>
      <c r="AD35" s="165">
        <f>'Traffic Calcs'!AD56</f>
        <v>-228526.53938661912</v>
      </c>
      <c r="AE35" s="165">
        <f>'Traffic Calcs'!AE56</f>
        <v>-235831.90175852343</v>
      </c>
      <c r="AF35" s="165">
        <f>'Traffic Calcs'!AF56</f>
        <v>-243370.79639118002</v>
      </c>
      <c r="AG35" s="165">
        <f>'Traffic Calcs'!AG56</f>
        <v>-251150.68866604893</v>
      </c>
      <c r="AH35" s="165">
        <f>'Traffic Calcs'!AH56</f>
        <v>-259179.28261221969</v>
      </c>
      <c r="AI35" s="165">
        <f>'Traffic Calcs'!AI56</f>
        <v>-267464.52853531647</v>
      </c>
      <c r="AJ35" s="165">
        <f>'Traffic Calcs'!AJ56</f>
        <v>0</v>
      </c>
      <c r="AK35" s="165">
        <f>'Traffic Calcs'!AK56</f>
        <v>0</v>
      </c>
      <c r="AL35" s="165">
        <f>'Traffic Calcs'!AL56</f>
        <v>0</v>
      </c>
      <c r="AM35" s="165">
        <f>'Traffic Calcs'!AM56</f>
        <v>0</v>
      </c>
      <c r="AN35" s="165">
        <f>'Traffic Calcs'!AN56</f>
        <v>0</v>
      </c>
      <c r="AO35" s="165">
        <f>'Traffic Calcs'!AO56</f>
        <v>0</v>
      </c>
      <c r="AP35" s="165">
        <f>'Traffic Calcs'!AP56</f>
        <v>0</v>
      </c>
      <c r="AQ35" s="165">
        <f>'Traffic Calcs'!AQ56</f>
        <v>0</v>
      </c>
      <c r="AR35" s="165">
        <f>'Traffic Calcs'!AR56</f>
        <v>0</v>
      </c>
      <c r="AS35" s="165">
        <f>'Traffic Calcs'!AS56</f>
        <v>0</v>
      </c>
      <c r="AT35" s="165">
        <f>'Traffic Calcs'!AT56</f>
        <v>0</v>
      </c>
    </row>
    <row r="36" spans="1:46" x14ac:dyDescent="0.35">
      <c r="B36" s="8"/>
      <c r="C36" s="34"/>
      <c r="D36" s="64"/>
      <c r="F36" s="386">
        <f>'Traffic Calcs'!F57</f>
        <v>0</v>
      </c>
      <c r="G36" s="165">
        <f>'Traffic Calcs'!G57</f>
        <v>0</v>
      </c>
      <c r="H36" s="165">
        <f>'Traffic Calcs'!H57</f>
        <v>0</v>
      </c>
      <c r="I36" s="165">
        <f>'Traffic Calcs'!I57</f>
        <v>0</v>
      </c>
      <c r="J36" s="165">
        <f>'Traffic Calcs'!J57</f>
        <v>0</v>
      </c>
      <c r="K36" s="165">
        <f>'Traffic Calcs'!K57</f>
        <v>0</v>
      </c>
      <c r="L36" s="165">
        <f>'Traffic Calcs'!L57</f>
        <v>0</v>
      </c>
      <c r="M36" s="165">
        <f>'Traffic Calcs'!M57</f>
        <v>0</v>
      </c>
      <c r="N36" s="165">
        <f>'Traffic Calcs'!N57</f>
        <v>0</v>
      </c>
      <c r="O36" s="165">
        <f>'Traffic Calcs'!O57</f>
        <v>0</v>
      </c>
      <c r="P36" s="165">
        <f>'Traffic Calcs'!P57</f>
        <v>0</v>
      </c>
      <c r="Q36" s="165">
        <f>'Traffic Calcs'!Q57</f>
        <v>0</v>
      </c>
      <c r="R36" s="165">
        <f>'Traffic Calcs'!R57</f>
        <v>0</v>
      </c>
      <c r="S36" s="165">
        <f>'Traffic Calcs'!S57</f>
        <v>0</v>
      </c>
      <c r="T36" s="165">
        <f>'Traffic Calcs'!T57</f>
        <v>0</v>
      </c>
      <c r="U36" s="165">
        <f>'Traffic Calcs'!U57</f>
        <v>0</v>
      </c>
      <c r="V36" s="165">
        <f>'Traffic Calcs'!V57</f>
        <v>0</v>
      </c>
      <c r="W36" s="165">
        <f>'Traffic Calcs'!W57</f>
        <v>0</v>
      </c>
      <c r="X36" s="165">
        <f>'Traffic Calcs'!X57</f>
        <v>0</v>
      </c>
      <c r="Y36" s="165">
        <f>'Traffic Calcs'!Y57</f>
        <v>0</v>
      </c>
      <c r="Z36" s="165">
        <f>'Traffic Calcs'!Z57</f>
        <v>0</v>
      </c>
      <c r="AA36" s="165">
        <f>'Traffic Calcs'!AA57</f>
        <v>0</v>
      </c>
      <c r="AB36" s="165">
        <f>'Traffic Calcs'!AB57</f>
        <v>0</v>
      </c>
      <c r="AC36" s="165">
        <f>'Traffic Calcs'!AC57</f>
        <v>0</v>
      </c>
      <c r="AD36" s="165">
        <f>'Traffic Calcs'!AD57</f>
        <v>0</v>
      </c>
      <c r="AE36" s="165">
        <f>'Traffic Calcs'!AE57</f>
        <v>0</v>
      </c>
      <c r="AF36" s="165">
        <f>'Traffic Calcs'!AF57</f>
        <v>0</v>
      </c>
      <c r="AG36" s="165">
        <f>'Traffic Calcs'!AG57</f>
        <v>0</v>
      </c>
      <c r="AH36" s="165">
        <f>'Traffic Calcs'!AH57</f>
        <v>0</v>
      </c>
      <c r="AI36" s="165">
        <f>'Traffic Calcs'!AI57</f>
        <v>0</v>
      </c>
      <c r="AJ36" s="165">
        <f>'Traffic Calcs'!AJ57</f>
        <v>0</v>
      </c>
      <c r="AK36" s="165">
        <f>'Traffic Calcs'!AK57</f>
        <v>0</v>
      </c>
      <c r="AL36" s="165">
        <f>'Traffic Calcs'!AL57</f>
        <v>0</v>
      </c>
      <c r="AM36" s="165">
        <f>'Traffic Calcs'!AM57</f>
        <v>0</v>
      </c>
      <c r="AN36" s="165">
        <f>'Traffic Calcs'!AN57</f>
        <v>0</v>
      </c>
      <c r="AO36" s="165">
        <f>'Traffic Calcs'!AO57</f>
        <v>0</v>
      </c>
      <c r="AP36" s="165">
        <f>'Traffic Calcs'!AP57</f>
        <v>0</v>
      </c>
      <c r="AQ36" s="165">
        <f>'Traffic Calcs'!AQ57</f>
        <v>0</v>
      </c>
      <c r="AR36" s="165">
        <f>'Traffic Calcs'!AR57</f>
        <v>0</v>
      </c>
      <c r="AS36" s="165">
        <f>'Traffic Calcs'!AS57</f>
        <v>0</v>
      </c>
      <c r="AT36" s="165">
        <f>'Traffic Calcs'!AT57</f>
        <v>0</v>
      </c>
    </row>
    <row r="37" spans="1:46" x14ac:dyDescent="0.35">
      <c r="A37" s="8" t="s">
        <v>129</v>
      </c>
      <c r="B37" s="8"/>
      <c r="C37" s="34"/>
      <c r="D37" s="64"/>
      <c r="F37" s="626" t="str">
        <f>'Traffic Calcs'!F58</f>
        <v>Total</v>
      </c>
      <c r="G37" s="165">
        <f>'Traffic Calcs'!G58</f>
        <v>0</v>
      </c>
      <c r="H37" s="165">
        <f>'Traffic Calcs'!H58</f>
        <v>0</v>
      </c>
      <c r="I37" s="165">
        <f>'Traffic Calcs'!I58</f>
        <v>0</v>
      </c>
      <c r="J37" s="165">
        <f>'Traffic Calcs'!J58</f>
        <v>0</v>
      </c>
      <c r="K37" s="165">
        <f>'Traffic Calcs'!K58</f>
        <v>0</v>
      </c>
      <c r="L37" s="165">
        <f>'Traffic Calcs'!L58</f>
        <v>0</v>
      </c>
      <c r="M37" s="165">
        <f>'Traffic Calcs'!M58</f>
        <v>0</v>
      </c>
      <c r="N37" s="165">
        <f>'Traffic Calcs'!N58</f>
        <v>0</v>
      </c>
      <c r="O37" s="165">
        <f>'Traffic Calcs'!O58</f>
        <v>0</v>
      </c>
      <c r="P37" s="165">
        <f>'Traffic Calcs'!P58</f>
        <v>0</v>
      </c>
      <c r="Q37" s="165">
        <f>'Traffic Calcs'!Q58</f>
        <v>0</v>
      </c>
      <c r="R37" s="165">
        <f>'Traffic Calcs'!R58</f>
        <v>0</v>
      </c>
      <c r="S37" s="165">
        <f>'Traffic Calcs'!S58</f>
        <v>0</v>
      </c>
      <c r="T37" s="165">
        <f>'Traffic Calcs'!T58</f>
        <v>0</v>
      </c>
      <c r="U37" s="165">
        <f>'Traffic Calcs'!U58</f>
        <v>0</v>
      </c>
      <c r="V37" s="165">
        <f>'Traffic Calcs'!V58</f>
        <v>0</v>
      </c>
      <c r="W37" s="165">
        <f>'Traffic Calcs'!W58</f>
        <v>0</v>
      </c>
      <c r="X37" s="165">
        <f>'Traffic Calcs'!X58</f>
        <v>0</v>
      </c>
      <c r="Y37" s="165">
        <f>'Traffic Calcs'!Y58</f>
        <v>0</v>
      </c>
      <c r="Z37" s="165">
        <f>'Traffic Calcs'!Z58</f>
        <v>0</v>
      </c>
      <c r="AA37" s="165">
        <f>'Traffic Calcs'!AA58</f>
        <v>0</v>
      </c>
      <c r="AB37" s="165">
        <f>'Traffic Calcs'!AB58</f>
        <v>0</v>
      </c>
      <c r="AC37" s="165">
        <f>'Traffic Calcs'!AC58</f>
        <v>0</v>
      </c>
      <c r="AD37" s="165">
        <f>'Traffic Calcs'!AD58</f>
        <v>0</v>
      </c>
      <c r="AE37" s="165">
        <f>'Traffic Calcs'!AE58</f>
        <v>0</v>
      </c>
      <c r="AF37" s="165">
        <f>'Traffic Calcs'!AF58</f>
        <v>0</v>
      </c>
      <c r="AG37" s="165">
        <f>'Traffic Calcs'!AG58</f>
        <v>0</v>
      </c>
      <c r="AH37" s="165">
        <f>'Traffic Calcs'!AH58</f>
        <v>0</v>
      </c>
      <c r="AI37" s="165">
        <f>'Traffic Calcs'!AI58</f>
        <v>0</v>
      </c>
      <c r="AJ37" s="165">
        <f>'Traffic Calcs'!AJ58</f>
        <v>0</v>
      </c>
      <c r="AK37" s="165">
        <f>'Traffic Calcs'!AK58</f>
        <v>0</v>
      </c>
      <c r="AL37" s="165">
        <f>'Traffic Calcs'!AL58</f>
        <v>0</v>
      </c>
      <c r="AM37" s="165">
        <f>'Traffic Calcs'!AM58</f>
        <v>0</v>
      </c>
      <c r="AN37" s="165">
        <f>'Traffic Calcs'!AN58</f>
        <v>0</v>
      </c>
      <c r="AO37" s="165">
        <f>'Traffic Calcs'!AO58</f>
        <v>0</v>
      </c>
      <c r="AP37" s="165">
        <f>'Traffic Calcs'!AP58</f>
        <v>0</v>
      </c>
      <c r="AQ37" s="165">
        <f>'Traffic Calcs'!AQ58</f>
        <v>0</v>
      </c>
      <c r="AR37" s="165">
        <f>'Traffic Calcs'!AR58</f>
        <v>0</v>
      </c>
      <c r="AS37" s="165">
        <f>'Traffic Calcs'!AS58</f>
        <v>0</v>
      </c>
      <c r="AT37" s="165">
        <f>'Traffic Calcs'!AT58</f>
        <v>0</v>
      </c>
    </row>
    <row r="38" spans="1:46" x14ac:dyDescent="0.35">
      <c r="B38" s="8" t="s">
        <v>421</v>
      </c>
      <c r="C38" s="34"/>
      <c r="D38" s="64"/>
      <c r="F38" s="386">
        <f>'Traffic Calcs'!F59</f>
        <v>1524321.7962098497</v>
      </c>
      <c r="G38" s="165">
        <f>'Traffic Calcs'!G59*$L$6</f>
        <v>0</v>
      </c>
      <c r="H38" s="165">
        <f>'Traffic Calcs'!H59*$L$6</f>
        <v>0</v>
      </c>
      <c r="I38" s="165">
        <f>'Traffic Calcs'!I59*$L$6</f>
        <v>0</v>
      </c>
      <c r="J38" s="165">
        <f>'Traffic Calcs'!J59*$L$6</f>
        <v>0</v>
      </c>
      <c r="K38" s="165">
        <f>'Traffic Calcs'!K59*$L$6</f>
        <v>0</v>
      </c>
      <c r="L38" s="165">
        <f>'Traffic Calcs'!L59*$L$6</f>
        <v>0</v>
      </c>
      <c r="M38" s="165">
        <f>'Traffic Calcs'!M59*$L$6</f>
        <v>0</v>
      </c>
      <c r="N38" s="165">
        <f>'Traffic Calcs'!N59*$L$6</f>
        <v>0</v>
      </c>
      <c r="O38" s="165">
        <f>'Traffic Calcs'!O59*$L$6</f>
        <v>0</v>
      </c>
      <c r="P38" s="165">
        <f>'Traffic Calcs'!P59*$L$6</f>
        <v>-9434.3099476251664</v>
      </c>
      <c r="Q38" s="165">
        <f>'Traffic Calcs'!Q59*$L$6</f>
        <v>-18868.619895250333</v>
      </c>
      <c r="R38" s="165">
        <f>'Traffic Calcs'!R59*$L$6</f>
        <v>-28302.929842875492</v>
      </c>
      <c r="S38" s="165">
        <f>'Traffic Calcs'!S59*$L$6</f>
        <v>-37737.239790500666</v>
      </c>
      <c r="T38" s="165">
        <f>'Traffic Calcs'!T59*$L$6</f>
        <v>-47171.549738125825</v>
      </c>
      <c r="U38" s="165">
        <f>'Traffic Calcs'!U59*$L$6</f>
        <v>-73282.940240620461</v>
      </c>
      <c r="V38" s="165">
        <f>'Traffic Calcs'!V59*$L$6</f>
        <v>-75625.593464063451</v>
      </c>
      <c r="W38" s="165">
        <f>'Traffic Calcs'!W59*$L$6</f>
        <v>-78043.134841656487</v>
      </c>
      <c r="X38" s="165">
        <f>'Traffic Calcs'!X59*$L$6</f>
        <v>-80537.958340878773</v>
      </c>
      <c r="Y38" s="165">
        <f>'Traffic Calcs'!Y59*$L$6</f>
        <v>-83112.53445773873</v>
      </c>
      <c r="Z38" s="165">
        <f>'Traffic Calcs'!Z59*$L$6</f>
        <v>-85769.412663179712</v>
      </c>
      <c r="AA38" s="165">
        <f>'Traffic Calcs'!AA59*$L$6</f>
        <v>-88511.223927690589</v>
      </c>
      <c r="AB38" s="165">
        <f>'Traffic Calcs'!AB59*$L$6</f>
        <v>-91340.683326621103</v>
      </c>
      <c r="AC38" s="165">
        <f>'Traffic Calcs'!AC59*$L$6</f>
        <v>-94260.592728782183</v>
      </c>
      <c r="AD38" s="165">
        <f>'Traffic Calcs'!AD59*$L$6</f>
        <v>-97273.843570992904</v>
      </c>
      <c r="AE38" s="165">
        <f>'Traffic Calcs'!AE59*$L$6</f>
        <v>-100383.41972132269</v>
      </c>
      <c r="AF38" s="165">
        <f>'Traffic Calcs'!AF59*$L$6</f>
        <v>-103592.40043386286</v>
      </c>
      <c r="AG38" s="165">
        <f>'Traffic Calcs'!AG59*$L$6</f>
        <v>-106903.96339795465</v>
      </c>
      <c r="AH38" s="165">
        <f>'Traffic Calcs'!AH59*$L$6</f>
        <v>-110321.38788489178</v>
      </c>
      <c r="AI38" s="165">
        <f>'Traffic Calcs'!AI59*$L$6</f>
        <v>-113848.05799521565</v>
      </c>
      <c r="AJ38" s="165">
        <f>'Traffic Calcs'!AJ59*$L$6</f>
        <v>0</v>
      </c>
      <c r="AK38" s="165">
        <f>'Traffic Calcs'!AK59*$L$6</f>
        <v>0</v>
      </c>
      <c r="AL38" s="165">
        <f>'Traffic Calcs'!AL59*$L$6</f>
        <v>0</v>
      </c>
      <c r="AM38" s="165">
        <f>'Traffic Calcs'!AM59*$L$6</f>
        <v>0</v>
      </c>
      <c r="AN38" s="165">
        <f>'Traffic Calcs'!AN59*$L$6</f>
        <v>0</v>
      </c>
      <c r="AO38" s="165">
        <f>'Traffic Calcs'!AO59*$L$6</f>
        <v>0</v>
      </c>
      <c r="AP38" s="165">
        <f>'Traffic Calcs'!AP59*$L$6</f>
        <v>0</v>
      </c>
      <c r="AQ38" s="165">
        <f>'Traffic Calcs'!AQ59*$L$6</f>
        <v>0</v>
      </c>
      <c r="AR38" s="165">
        <f>'Traffic Calcs'!AR59*$L$6</f>
        <v>0</v>
      </c>
      <c r="AS38" s="165">
        <f>'Traffic Calcs'!AS59*$L$6</f>
        <v>0</v>
      </c>
      <c r="AT38" s="165">
        <f>'Traffic Calcs'!AT59*$L$6</f>
        <v>0</v>
      </c>
    </row>
    <row r="39" spans="1:46" x14ac:dyDescent="0.35">
      <c r="B39" s="8" t="s">
        <v>464</v>
      </c>
      <c r="C39" s="34"/>
      <c r="D39" s="64"/>
      <c r="F39" s="386">
        <f>SUM(G39:AT39)</f>
        <v>-28962114.127987139</v>
      </c>
      <c r="G39" s="165">
        <f>G38*$H$6</f>
        <v>0</v>
      </c>
      <c r="H39" s="165">
        <f t="shared" ref="H39:AT39" si="3">H38*$H$6</f>
        <v>0</v>
      </c>
      <c r="I39" s="165">
        <f t="shared" si="3"/>
        <v>0</v>
      </c>
      <c r="J39" s="165">
        <f t="shared" si="3"/>
        <v>0</v>
      </c>
      <c r="K39" s="165">
        <f t="shared" si="3"/>
        <v>0</v>
      </c>
      <c r="L39" s="165">
        <f t="shared" si="3"/>
        <v>0</v>
      </c>
      <c r="M39" s="165">
        <f t="shared" si="3"/>
        <v>0</v>
      </c>
      <c r="N39" s="165">
        <f t="shared" si="3"/>
        <v>0</v>
      </c>
      <c r="O39" s="165">
        <f t="shared" si="3"/>
        <v>0</v>
      </c>
      <c r="P39" s="165">
        <f t="shared" si="3"/>
        <v>-179251.88900487818</v>
      </c>
      <c r="Q39" s="165">
        <f t="shared" si="3"/>
        <v>-358503.77800975635</v>
      </c>
      <c r="R39" s="165">
        <f t="shared" si="3"/>
        <v>-537755.66701463435</v>
      </c>
      <c r="S39" s="165">
        <f t="shared" si="3"/>
        <v>-717007.5560195127</v>
      </c>
      <c r="T39" s="165">
        <f t="shared" si="3"/>
        <v>-896259.4450243907</v>
      </c>
      <c r="U39" s="165">
        <f t="shared" si="3"/>
        <v>-1392375.8645717888</v>
      </c>
      <c r="V39" s="165">
        <f t="shared" si="3"/>
        <v>-1436886.2758172057</v>
      </c>
      <c r="W39" s="165">
        <f t="shared" si="3"/>
        <v>-1482819.5619914732</v>
      </c>
      <c r="X39" s="165">
        <f t="shared" si="3"/>
        <v>-1530221.2084766966</v>
      </c>
      <c r="Y39" s="165">
        <f t="shared" si="3"/>
        <v>-1579138.1546970359</v>
      </c>
      <c r="Z39" s="165">
        <f t="shared" si="3"/>
        <v>-1629618.8406004144</v>
      </c>
      <c r="AA39" s="165">
        <f t="shared" si="3"/>
        <v>-1681713.2546261211</v>
      </c>
      <c r="AB39" s="165">
        <f t="shared" si="3"/>
        <v>-1735472.9832058009</v>
      </c>
      <c r="AC39" s="165">
        <f t="shared" si="3"/>
        <v>-1790951.2618468616</v>
      </c>
      <c r="AD39" s="165">
        <f t="shared" si="3"/>
        <v>-1848203.0278488651</v>
      </c>
      <c r="AE39" s="165">
        <f t="shared" si="3"/>
        <v>-1907284.974705131</v>
      </c>
      <c r="AF39" s="165">
        <f t="shared" si="3"/>
        <v>-1968255.6082433944</v>
      </c>
      <c r="AG39" s="165">
        <f t="shared" si="3"/>
        <v>-2031175.3045611384</v>
      </c>
      <c r="AH39" s="165">
        <f t="shared" si="3"/>
        <v>-2096106.3698129437</v>
      </c>
      <c r="AI39" s="165">
        <f t="shared" si="3"/>
        <v>-2163113.1019090973</v>
      </c>
      <c r="AJ39" s="165">
        <f t="shared" si="3"/>
        <v>0</v>
      </c>
      <c r="AK39" s="165">
        <f t="shared" si="3"/>
        <v>0</v>
      </c>
      <c r="AL39" s="165">
        <f t="shared" si="3"/>
        <v>0</v>
      </c>
      <c r="AM39" s="165">
        <f t="shared" si="3"/>
        <v>0</v>
      </c>
      <c r="AN39" s="165">
        <f t="shared" si="3"/>
        <v>0</v>
      </c>
      <c r="AO39" s="165">
        <f t="shared" si="3"/>
        <v>0</v>
      </c>
      <c r="AP39" s="165">
        <f t="shared" si="3"/>
        <v>0</v>
      </c>
      <c r="AQ39" s="165">
        <f t="shared" si="3"/>
        <v>0</v>
      </c>
      <c r="AR39" s="165">
        <f t="shared" si="3"/>
        <v>0</v>
      </c>
      <c r="AS39" s="165">
        <f t="shared" si="3"/>
        <v>0</v>
      </c>
      <c r="AT39" s="165">
        <f t="shared" si="3"/>
        <v>0</v>
      </c>
    </row>
    <row r="40" spans="1:46" x14ac:dyDescent="0.35">
      <c r="B40" s="8" t="s">
        <v>422</v>
      </c>
      <c r="E40" s="15"/>
      <c r="F40" s="386">
        <f>'Traffic Calcs'!F60</f>
        <v>62217.216171830587</v>
      </c>
      <c r="G40" s="165">
        <f>'Traffic Calcs'!G60</f>
        <v>0</v>
      </c>
      <c r="H40" s="165">
        <f>'Traffic Calcs'!H60</f>
        <v>0</v>
      </c>
      <c r="I40" s="165">
        <f>'Traffic Calcs'!I60</f>
        <v>0</v>
      </c>
      <c r="J40" s="165">
        <f>'Traffic Calcs'!J60</f>
        <v>0</v>
      </c>
      <c r="K40" s="165">
        <f>'Traffic Calcs'!K60</f>
        <v>0</v>
      </c>
      <c r="L40" s="165">
        <f>'Traffic Calcs'!L60</f>
        <v>0</v>
      </c>
      <c r="M40" s="165">
        <f>'Traffic Calcs'!M60</f>
        <v>0</v>
      </c>
      <c r="N40" s="165">
        <f>'Traffic Calcs'!N60</f>
        <v>0</v>
      </c>
      <c r="O40" s="165">
        <f>'Traffic Calcs'!O60</f>
        <v>0</v>
      </c>
      <c r="P40" s="165">
        <f>'Traffic Calcs'!P60</f>
        <v>385.07387541327239</v>
      </c>
      <c r="Q40" s="165">
        <f>'Traffic Calcs'!Q60</f>
        <v>770.14775082654432</v>
      </c>
      <c r="R40" s="165">
        <f>'Traffic Calcs'!R60</f>
        <v>1155.221626239816</v>
      </c>
      <c r="S40" s="165">
        <f>'Traffic Calcs'!S60</f>
        <v>1540.2955016530884</v>
      </c>
      <c r="T40" s="165">
        <f>'Traffic Calcs'!T60</f>
        <v>1925.3693770663601</v>
      </c>
      <c r="U40" s="165">
        <f>'Traffic Calcs'!U60</f>
        <v>2991.1404179845085</v>
      </c>
      <c r="V40" s="165">
        <f>'Traffic Calcs'!V60</f>
        <v>3086.7589169005487</v>
      </c>
      <c r="W40" s="165">
        <f>'Traffic Calcs'!W60</f>
        <v>3185.4340751696523</v>
      </c>
      <c r="X40" s="165">
        <f>'Traffic Calcs'!X60</f>
        <v>3287.2636057501545</v>
      </c>
      <c r="Y40" s="165">
        <f>'Traffic Calcs'!Y60</f>
        <v>3392.3483452138262</v>
      </c>
      <c r="Z40" s="165">
        <f>'Traffic Calcs'!Z60</f>
        <v>3500.7923535991722</v>
      </c>
      <c r="AA40" s="165">
        <f>'Traffic Calcs'!AA60</f>
        <v>3612.7030174567581</v>
      </c>
      <c r="AB40" s="165">
        <f>'Traffic Calcs'!AB60</f>
        <v>3728.1911561886168</v>
      </c>
      <c r="AC40" s="165">
        <f>'Traffic Calcs'!AC60</f>
        <v>3847.3711317870279</v>
      </c>
      <c r="AD40" s="165">
        <f>'Traffic Calcs'!AD60</f>
        <v>3970.3609620813427</v>
      </c>
      <c r="AE40" s="165">
        <f>'Traffic Calcs'!AE60</f>
        <v>4097.2824376050075</v>
      </c>
      <c r="AF40" s="165">
        <f>'Traffic Calcs'!AF60</f>
        <v>4228.2612421984841</v>
      </c>
      <c r="AG40" s="165">
        <f>'Traffic Calcs'!AG60</f>
        <v>4363.4270774675369</v>
      </c>
      <c r="AH40" s="165">
        <f>'Traffic Calcs'!AH60</f>
        <v>4502.9137912200731</v>
      </c>
      <c r="AI40" s="165">
        <f>'Traffic Calcs'!AI60</f>
        <v>4646.8595100088023</v>
      </c>
      <c r="AJ40" s="165">
        <f>'Traffic Calcs'!AJ60</f>
        <v>0</v>
      </c>
      <c r="AK40" s="165">
        <f>'Traffic Calcs'!AK60</f>
        <v>0</v>
      </c>
      <c r="AL40" s="165">
        <f>'Traffic Calcs'!AL60</f>
        <v>0</v>
      </c>
      <c r="AM40" s="165">
        <f>'Traffic Calcs'!AM60</f>
        <v>0</v>
      </c>
      <c r="AN40" s="165">
        <f>'Traffic Calcs'!AN60</f>
        <v>0</v>
      </c>
      <c r="AO40" s="165">
        <f>'Traffic Calcs'!AO60</f>
        <v>0</v>
      </c>
      <c r="AP40" s="165">
        <f>'Traffic Calcs'!AP60</f>
        <v>0</v>
      </c>
      <c r="AQ40" s="165">
        <f>'Traffic Calcs'!AQ60</f>
        <v>0</v>
      </c>
      <c r="AR40" s="165">
        <f>'Traffic Calcs'!AR60</f>
        <v>0</v>
      </c>
      <c r="AS40" s="165">
        <f>'Traffic Calcs'!AS60</f>
        <v>0</v>
      </c>
      <c r="AT40" s="165">
        <f>'Traffic Calcs'!AT60</f>
        <v>0</v>
      </c>
    </row>
    <row r="41" spans="1:46" ht="4.4000000000000004" customHeight="1" thickBot="1" x14ac:dyDescent="0.4">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row>
    <row r="43" spans="1:46" x14ac:dyDescent="0.35">
      <c r="A43" s="372"/>
      <c r="B43" s="371" t="s">
        <v>178</v>
      </c>
    </row>
    <row r="44" spans="1:46" x14ac:dyDescent="0.35">
      <c r="F44" s="386"/>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row>
    <row r="45" spans="1:46" x14ac:dyDescent="0.35">
      <c r="B45" t="s">
        <v>465</v>
      </c>
      <c r="F45" s="386"/>
      <c r="G45" s="613">
        <f>_xlfn.XLOOKUP(G$27,MOVES!$B$7:$B$53,MOVES!$E$7:$E$53)</f>
        <v>1.7466358250127929E-6</v>
      </c>
      <c r="H45" s="613">
        <f>_xlfn.XLOOKUP(H$27,MOVES!$B$7:$B$53,MOVES!$E$7:$E$53)</f>
        <v>1.7466358250127929E-6</v>
      </c>
      <c r="I45" s="613">
        <f>_xlfn.XLOOKUP(I$27,MOVES!$B$7:$B$53,MOVES!$E$7:$E$53)</f>
        <v>1.6010358969972023E-6</v>
      </c>
      <c r="J45" s="613">
        <f>_xlfn.XLOOKUP(J$27,MOVES!$B$7:$B$53,MOVES!$E$7:$E$53)</f>
        <v>1.4554359689816118E-6</v>
      </c>
      <c r="K45" s="613">
        <f>_xlfn.XLOOKUP(K$27,MOVES!$B$7:$B$53,MOVES!$E$7:$E$53)</f>
        <v>1.3098360409660212E-6</v>
      </c>
      <c r="L45" s="613">
        <f>_xlfn.XLOOKUP(L$27,MOVES!$B$7:$B$53,MOVES!$E$7:$E$53)</f>
        <v>1.1642361129504306E-6</v>
      </c>
      <c r="M45" s="613">
        <f>_xlfn.XLOOKUP(M$27,MOVES!$B$7:$B$53,MOVES!$E$7:$E$53)</f>
        <v>1.0186361849348396E-6</v>
      </c>
      <c r="N45" s="613">
        <f>_xlfn.XLOOKUP(N$27,MOVES!$B$7:$B$53,MOVES!$E$7:$E$53)</f>
        <v>9.7142684957375557E-7</v>
      </c>
      <c r="O45" s="613">
        <f>_xlfn.XLOOKUP(O$27,MOVES!$B$7:$B$53,MOVES!$E$7:$E$53)</f>
        <v>9.2421751421267153E-7</v>
      </c>
      <c r="P45" s="613">
        <f>_xlfn.XLOOKUP(P$27,MOVES!$B$7:$B$53,MOVES!$E$7:$E$53)</f>
        <v>8.7700817885158749E-7</v>
      </c>
      <c r="Q45" s="613">
        <f>_xlfn.XLOOKUP(Q$27,MOVES!$B$7:$B$53,MOVES!$E$7:$E$53)</f>
        <v>8.2979884349050346E-7</v>
      </c>
      <c r="R45" s="613">
        <f>_xlfn.XLOOKUP(R$27,MOVES!$B$7:$B$53,MOVES!$E$7:$E$53)</f>
        <v>7.8258950812941942E-7</v>
      </c>
      <c r="S45" s="613">
        <f>_xlfn.XLOOKUP(S$27,MOVES!$B$7:$B$53,MOVES!$E$7:$E$53)</f>
        <v>7.3538017276833538E-7</v>
      </c>
      <c r="T45" s="613">
        <f>_xlfn.XLOOKUP(T$27,MOVES!$B$7:$B$53,MOVES!$E$7:$E$53)</f>
        <v>6.8817083740725134E-7</v>
      </c>
      <c r="U45" s="613">
        <f>_xlfn.XLOOKUP(U$27,MOVES!$B$7:$B$53,MOVES!$E$7:$E$53)</f>
        <v>6.409615020461673E-7</v>
      </c>
      <c r="V45" s="613">
        <f>_xlfn.XLOOKUP(V$27,MOVES!$B$7:$B$53,MOVES!$E$7:$E$53)</f>
        <v>5.9375216668508327E-7</v>
      </c>
      <c r="W45" s="613">
        <f>_xlfn.XLOOKUP(W$27,MOVES!$B$7:$B$53,MOVES!$E$7:$E$53)</f>
        <v>5.4654283132399944E-7</v>
      </c>
      <c r="X45" s="613">
        <f>_xlfn.XLOOKUP(X$27,MOVES!$B$7:$B$53,MOVES!$E$7:$E$53)</f>
        <v>5.3506543703269606E-7</v>
      </c>
      <c r="Y45" s="613">
        <f>_xlfn.XLOOKUP(Y$27,MOVES!$B$7:$B$53,MOVES!$E$7:$E$53)</f>
        <v>5.2358804274139268E-7</v>
      </c>
      <c r="Z45" s="613">
        <f>_xlfn.XLOOKUP(Z$27,MOVES!$B$7:$B$53,MOVES!$E$7:$E$53)</f>
        <v>5.1211064845008929E-7</v>
      </c>
      <c r="AA45" s="613">
        <f>_xlfn.XLOOKUP(AA$27,MOVES!$B$7:$B$53,MOVES!$E$7:$E$53)</f>
        <v>5.0063325415878591E-7</v>
      </c>
      <c r="AB45" s="613">
        <f>_xlfn.XLOOKUP(AB$27,MOVES!$B$7:$B$53,MOVES!$E$7:$E$53)</f>
        <v>4.8915585986748253E-7</v>
      </c>
      <c r="AC45" s="613">
        <f>_xlfn.XLOOKUP(AC$27,MOVES!$B$7:$B$53,MOVES!$E$7:$E$53)</f>
        <v>4.7767846557617914E-7</v>
      </c>
      <c r="AD45" s="613">
        <f>_xlfn.XLOOKUP(AD$27,MOVES!$B$7:$B$53,MOVES!$E$7:$E$53)</f>
        <v>4.6620107128487571E-7</v>
      </c>
      <c r="AE45" s="613">
        <f>_xlfn.XLOOKUP(AE$27,MOVES!$B$7:$B$53,MOVES!$E$7:$E$53)</f>
        <v>4.5472367699357227E-7</v>
      </c>
      <c r="AF45" s="613">
        <f>_xlfn.XLOOKUP(AF$27,MOVES!$B$7:$B$53,MOVES!$E$7:$E$53)</f>
        <v>4.4324628270226884E-7</v>
      </c>
      <c r="AG45" s="613">
        <f>_xlfn.XLOOKUP(AG$27,MOVES!$B$7:$B$53,MOVES!$E$7:$E$53)</f>
        <v>4.3176888841096514E-7</v>
      </c>
      <c r="AH45" s="613">
        <f>_xlfn.XLOOKUP(AH$27,MOVES!$B$7:$B$53,MOVES!$E$7:$E$53)</f>
        <v>4.2939843110257208E-7</v>
      </c>
      <c r="AI45" s="613">
        <f>_xlfn.XLOOKUP(AI$27,MOVES!$B$7:$B$53,MOVES!$E$7:$E$53)</f>
        <v>4.2702797379417903E-7</v>
      </c>
      <c r="AJ45" s="613">
        <f>_xlfn.XLOOKUP(AJ$27,MOVES!$B$7:$B$53,MOVES!$E$7:$E$53)</f>
        <v>4.2465751648578598E-7</v>
      </c>
      <c r="AK45" s="613">
        <f>_xlfn.XLOOKUP(AK$27,MOVES!$B$7:$B$53,MOVES!$E$7:$E$53)</f>
        <v>4.2228705917739292E-7</v>
      </c>
      <c r="AL45" s="613">
        <f>_xlfn.XLOOKUP(AL$27,MOVES!$B$7:$B$53,MOVES!$E$7:$E$53)</f>
        <v>4.1991660186899987E-7</v>
      </c>
      <c r="AM45" s="613">
        <f>_xlfn.XLOOKUP(AM$27,MOVES!$B$7:$B$53,MOVES!$E$7:$E$53)</f>
        <v>4.1754614456060682E-7</v>
      </c>
      <c r="AN45" s="613">
        <f>_xlfn.XLOOKUP(AN$27,MOVES!$B$7:$B$53,MOVES!$E$7:$E$53)</f>
        <v>4.1517568725221376E-7</v>
      </c>
      <c r="AO45" s="613">
        <f>_xlfn.XLOOKUP(AO$27,MOVES!$B$7:$B$53,MOVES!$E$7:$E$53)</f>
        <v>4.1280522994382071E-7</v>
      </c>
      <c r="AP45" s="613">
        <f>_xlfn.XLOOKUP(AP$27,MOVES!$B$7:$B$53,MOVES!$E$7:$E$53)</f>
        <v>4.1043477263542766E-7</v>
      </c>
      <c r="AQ45" s="613">
        <f>_xlfn.XLOOKUP(AQ$27,MOVES!$B$7:$B$53,MOVES!$E$7:$E$53)</f>
        <v>4.080643153270345E-7</v>
      </c>
      <c r="AR45" s="613">
        <f>_xlfn.XLOOKUP(AR$27,MOVES!$B$7:$B$53,MOVES!$E$7:$E$53)</f>
        <v>4.080643153270345E-7</v>
      </c>
      <c r="AS45" s="613">
        <f>_xlfn.XLOOKUP(AS$27,MOVES!$B$7:$B$53,MOVES!$E$7:$E$53)</f>
        <v>4.080643153270345E-7</v>
      </c>
      <c r="AT45" s="613">
        <f>_xlfn.XLOOKUP(AT$27,MOVES!$B$7:$B$53,MOVES!$E$7:$E$53)</f>
        <v>4.080643153270345E-7</v>
      </c>
    </row>
    <row r="46" spans="1:46" x14ac:dyDescent="0.35">
      <c r="B46" t="s">
        <v>466</v>
      </c>
      <c r="F46" s="386">
        <f>SUM(G46:AT46)</f>
        <v>91.950578425905292</v>
      </c>
      <c r="G46" s="346">
        <f t="shared" ref="G46:AT46" si="4">G45*G$34*$H$16</f>
        <v>0</v>
      </c>
      <c r="H46" s="346">
        <f t="shared" si="4"/>
        <v>0</v>
      </c>
      <c r="I46" s="346">
        <f t="shared" si="4"/>
        <v>0</v>
      </c>
      <c r="J46" s="346">
        <f t="shared" si="4"/>
        <v>0</v>
      </c>
      <c r="K46" s="346">
        <f t="shared" si="4"/>
        <v>0</v>
      </c>
      <c r="L46" s="346">
        <f t="shared" si="4"/>
        <v>0</v>
      </c>
      <c r="M46" s="346">
        <f t="shared" si="4"/>
        <v>0</v>
      </c>
      <c r="N46" s="346">
        <f t="shared" si="4"/>
        <v>0</v>
      </c>
      <c r="O46" s="346">
        <f t="shared" si="4"/>
        <v>0</v>
      </c>
      <c r="P46" s="346">
        <f t="shared" si="4"/>
        <v>0.96986860326534419</v>
      </c>
      <c r="Q46" s="346">
        <f t="shared" si="4"/>
        <v>1.83532118567283</v>
      </c>
      <c r="R46" s="346">
        <f t="shared" si="4"/>
        <v>2.5963577472224579</v>
      </c>
      <c r="S46" s="346">
        <f t="shared" si="4"/>
        <v>3.2529782879142273</v>
      </c>
      <c r="T46" s="346">
        <f t="shared" si="4"/>
        <v>3.8051828077481393</v>
      </c>
      <c r="U46" s="346">
        <f t="shared" si="4"/>
        <v>5.505971357841549</v>
      </c>
      <c r="V46" s="346">
        <f t="shared" si="4"/>
        <v>5.2634817327587591</v>
      </c>
      <c r="W46" s="346">
        <f t="shared" si="4"/>
        <v>4.999862084366173</v>
      </c>
      <c r="X46" s="346">
        <f t="shared" si="4"/>
        <v>5.0513403452813126</v>
      </c>
      <c r="Y46" s="346">
        <f t="shared" si="4"/>
        <v>5.1010004611503499</v>
      </c>
      <c r="Z46" s="346">
        <f t="shared" si="4"/>
        <v>5.1486735839630287</v>
      </c>
      <c r="AA46" s="346">
        <f t="shared" si="4"/>
        <v>5.1941819284702051</v>
      </c>
      <c r="AB46" s="346">
        <f t="shared" si="4"/>
        <v>5.2373383733326371</v>
      </c>
      <c r="AC46" s="346">
        <f t="shared" si="4"/>
        <v>5.2779460459024925</v>
      </c>
      <c r="AD46" s="346">
        <f t="shared" si="4"/>
        <v>5.3157978899986178</v>
      </c>
      <c r="AE46" s="346">
        <f t="shared" si="4"/>
        <v>5.3506762160126975</v>
      </c>
      <c r="AF46" s="346">
        <f t="shared" si="4"/>
        <v>5.3823522326582438</v>
      </c>
      <c r="AG46" s="346">
        <f t="shared" si="4"/>
        <v>5.4105855596485641</v>
      </c>
      <c r="AH46" s="346">
        <f t="shared" si="4"/>
        <v>5.5528927687354592</v>
      </c>
      <c r="AI46" s="346">
        <f t="shared" si="4"/>
        <v>5.6987692139621871</v>
      </c>
      <c r="AJ46" s="346">
        <f t="shared" si="4"/>
        <v>0</v>
      </c>
      <c r="AK46" s="346">
        <f t="shared" si="4"/>
        <v>0</v>
      </c>
      <c r="AL46" s="346">
        <f t="shared" si="4"/>
        <v>0</v>
      </c>
      <c r="AM46" s="346">
        <f t="shared" si="4"/>
        <v>0</v>
      </c>
      <c r="AN46" s="346">
        <f t="shared" si="4"/>
        <v>0</v>
      </c>
      <c r="AO46" s="346">
        <f t="shared" si="4"/>
        <v>0</v>
      </c>
      <c r="AP46" s="346">
        <f t="shared" si="4"/>
        <v>0</v>
      </c>
      <c r="AQ46" s="346">
        <f t="shared" si="4"/>
        <v>0</v>
      </c>
      <c r="AR46" s="346">
        <f t="shared" si="4"/>
        <v>0</v>
      </c>
      <c r="AS46" s="346">
        <f t="shared" si="4"/>
        <v>0</v>
      </c>
      <c r="AT46" s="346">
        <f t="shared" si="4"/>
        <v>0</v>
      </c>
    </row>
    <row r="47" spans="1:46" x14ac:dyDescent="0.35">
      <c r="B47" t="s">
        <v>467</v>
      </c>
      <c r="F47" s="386"/>
      <c r="G47" s="384">
        <f>H47</f>
        <v>21600</v>
      </c>
      <c r="H47" s="384">
        <f>_xlfn.XLOOKUP(H$27,USDOTBCA_GuidanceFY2026!$B$167:$B$207,USDOTBCA_GuidanceFY2026!$C$167:$C$207)</f>
        <v>21600</v>
      </c>
      <c r="I47" s="384">
        <f>_xlfn.XLOOKUP(I$27,USDOTBCA_GuidanceFY2026!$B$167:$B$207,USDOTBCA_GuidanceFY2026!$C$167:$C$207)</f>
        <v>22000</v>
      </c>
      <c r="J47" s="384">
        <f>_xlfn.XLOOKUP(J$27,USDOTBCA_GuidanceFY2026!$B$167:$B$207,USDOTBCA_GuidanceFY2026!$C$167:$C$207)</f>
        <v>22500</v>
      </c>
      <c r="K47" s="384">
        <f>_xlfn.XLOOKUP(K$27,USDOTBCA_GuidanceFY2026!$B$167:$B$207,USDOTBCA_GuidanceFY2026!$C$167:$C$207)</f>
        <v>22900</v>
      </c>
      <c r="L47" s="384">
        <f>_xlfn.XLOOKUP(L$27,USDOTBCA_GuidanceFY2026!$B$167:$B$207,USDOTBCA_GuidanceFY2026!$C$167:$C$207)</f>
        <v>23300</v>
      </c>
      <c r="M47" s="384">
        <f>_xlfn.XLOOKUP(M$27,USDOTBCA_GuidanceFY2026!$B$167:$B$207,USDOTBCA_GuidanceFY2026!$C$167:$C$207)</f>
        <v>23800</v>
      </c>
      <c r="N47" s="384">
        <f>_xlfn.XLOOKUP(N$27,USDOTBCA_GuidanceFY2026!$B$167:$B$207,USDOTBCA_GuidanceFY2026!$C$167:$C$207)</f>
        <v>23800</v>
      </c>
      <c r="O47" s="384">
        <f>_xlfn.XLOOKUP(O$27,USDOTBCA_GuidanceFY2026!$B$167:$B$207,USDOTBCA_GuidanceFY2026!$C$167:$C$207)</f>
        <v>23800</v>
      </c>
      <c r="P47" s="384">
        <f>_xlfn.XLOOKUP(P$27,USDOTBCA_GuidanceFY2026!$B$167:$B$207,USDOTBCA_GuidanceFY2026!$C$167:$C$207)</f>
        <v>23800</v>
      </c>
      <c r="Q47" s="384">
        <f>_xlfn.XLOOKUP(Q$27,USDOTBCA_GuidanceFY2026!$B$167:$B$207,USDOTBCA_GuidanceFY2026!$C$167:$C$207)</f>
        <v>23800</v>
      </c>
      <c r="R47" s="384">
        <f>_xlfn.XLOOKUP(R$27,USDOTBCA_GuidanceFY2026!$B$167:$B$207,USDOTBCA_GuidanceFY2026!$C$167:$C$207)</f>
        <v>23800</v>
      </c>
      <c r="S47" s="384">
        <f>_xlfn.XLOOKUP(S$27,USDOTBCA_GuidanceFY2026!$B$167:$B$207,USDOTBCA_GuidanceFY2026!$C$167:$C$207)</f>
        <v>23800</v>
      </c>
      <c r="T47" s="384">
        <f>_xlfn.XLOOKUP(T$27,USDOTBCA_GuidanceFY2026!$B$167:$B$207,USDOTBCA_GuidanceFY2026!$C$167:$C$207)</f>
        <v>23800</v>
      </c>
      <c r="U47" s="384">
        <f>_xlfn.XLOOKUP(U$27,USDOTBCA_GuidanceFY2026!$B$167:$B$207,USDOTBCA_GuidanceFY2026!$C$167:$C$207)</f>
        <v>23800</v>
      </c>
      <c r="V47" s="384">
        <f>_xlfn.XLOOKUP(V$27,USDOTBCA_GuidanceFY2026!$B$167:$B$207,USDOTBCA_GuidanceFY2026!$C$167:$C$207)</f>
        <v>23800</v>
      </c>
      <c r="W47" s="384">
        <f>_xlfn.XLOOKUP(W$27,USDOTBCA_GuidanceFY2026!$B$167:$B$207,USDOTBCA_GuidanceFY2026!$C$167:$C$207)</f>
        <v>23800</v>
      </c>
      <c r="X47" s="384">
        <f>_xlfn.XLOOKUP(X$27,USDOTBCA_GuidanceFY2026!$B$167:$B$207,USDOTBCA_GuidanceFY2026!$C$167:$C$207)</f>
        <v>23800</v>
      </c>
      <c r="Y47" s="384">
        <f>_xlfn.XLOOKUP(Y$27,USDOTBCA_GuidanceFY2026!$B$167:$B$207,USDOTBCA_GuidanceFY2026!$C$167:$C$207)</f>
        <v>23800</v>
      </c>
      <c r="Z47" s="384">
        <f>_xlfn.XLOOKUP(Z$27,USDOTBCA_GuidanceFY2026!$B$167:$B$207,USDOTBCA_GuidanceFY2026!$C$167:$C$207)</f>
        <v>23800</v>
      </c>
      <c r="AA47" s="384">
        <f>_xlfn.XLOOKUP(AA$27,USDOTBCA_GuidanceFY2026!$B$167:$B$207,USDOTBCA_GuidanceFY2026!$C$167:$C$207)</f>
        <v>23800</v>
      </c>
      <c r="AB47" s="384">
        <f>_xlfn.XLOOKUP(AB$27,USDOTBCA_GuidanceFY2026!$B$167:$B$207,USDOTBCA_GuidanceFY2026!$C$167:$C$207)</f>
        <v>23800</v>
      </c>
      <c r="AC47" s="384">
        <f>_xlfn.XLOOKUP(AC$27,USDOTBCA_GuidanceFY2026!$B$167:$B$207,USDOTBCA_GuidanceFY2026!$C$167:$C$207)</f>
        <v>23800</v>
      </c>
      <c r="AD47" s="384">
        <f>_xlfn.XLOOKUP(AD$27,USDOTBCA_GuidanceFY2026!$B$167:$B$207,USDOTBCA_GuidanceFY2026!$C$167:$C$207)</f>
        <v>23800</v>
      </c>
      <c r="AE47" s="384">
        <f>_xlfn.XLOOKUP(AE$27,USDOTBCA_GuidanceFY2026!$B$167:$B$207,USDOTBCA_GuidanceFY2026!$C$167:$C$207)</f>
        <v>23800</v>
      </c>
      <c r="AF47" s="384">
        <f>_xlfn.XLOOKUP(AF$27,USDOTBCA_GuidanceFY2026!$B$167:$B$207,USDOTBCA_GuidanceFY2026!$C$167:$C$207)</f>
        <v>23800</v>
      </c>
      <c r="AG47" s="384">
        <f>_xlfn.XLOOKUP(AG$27,USDOTBCA_GuidanceFY2026!$B$167:$B$207,USDOTBCA_GuidanceFY2026!$C$167:$C$207)</f>
        <v>23800</v>
      </c>
      <c r="AH47" s="384">
        <f>_xlfn.XLOOKUP(AH$27,USDOTBCA_GuidanceFY2026!$B$167:$B$207,USDOTBCA_GuidanceFY2026!$C$167:$C$207)</f>
        <v>23800</v>
      </c>
      <c r="AI47" s="384">
        <f>_xlfn.XLOOKUP(AI$27,USDOTBCA_GuidanceFY2026!$B$167:$B$207,USDOTBCA_GuidanceFY2026!$C$167:$C$207)</f>
        <v>23800</v>
      </c>
      <c r="AJ47" s="384">
        <f>_xlfn.XLOOKUP(AJ$27,USDOTBCA_GuidanceFY2026!$B$167:$B$207,USDOTBCA_GuidanceFY2026!$C$167:$C$207)</f>
        <v>23800</v>
      </c>
      <c r="AK47" s="384">
        <f>_xlfn.XLOOKUP(AK$27,USDOTBCA_GuidanceFY2026!$B$167:$B$207,USDOTBCA_GuidanceFY2026!$C$167:$C$207)</f>
        <v>23800</v>
      </c>
      <c r="AL47" s="384">
        <f>_xlfn.XLOOKUP(AL$27,USDOTBCA_GuidanceFY2026!$B$167:$B$207,USDOTBCA_GuidanceFY2026!$C$167:$C$207)</f>
        <v>23800</v>
      </c>
      <c r="AM47" s="384">
        <f>_xlfn.XLOOKUP(AM$27,USDOTBCA_GuidanceFY2026!$B$167:$B$207,USDOTBCA_GuidanceFY2026!$C$167:$C$207)</f>
        <v>23800</v>
      </c>
      <c r="AN47" s="384">
        <f>_xlfn.XLOOKUP(AN$27,USDOTBCA_GuidanceFY2026!$B$167:$B$207,USDOTBCA_GuidanceFY2026!$C$167:$C$207)</f>
        <v>23800</v>
      </c>
      <c r="AO47" s="384">
        <f>_xlfn.XLOOKUP(AO$27,USDOTBCA_GuidanceFY2026!$B$167:$B$207,USDOTBCA_GuidanceFY2026!$C$167:$C$207)</f>
        <v>23800</v>
      </c>
      <c r="AP47" s="384">
        <f>_xlfn.XLOOKUP(AP$27,USDOTBCA_GuidanceFY2026!$B$167:$B$207,USDOTBCA_GuidanceFY2026!$C$167:$C$207)</f>
        <v>23800</v>
      </c>
      <c r="AQ47" s="384">
        <f>_xlfn.XLOOKUP(AQ$27,USDOTBCA_GuidanceFY2026!$B$167:$B$207,USDOTBCA_GuidanceFY2026!$C$167:$C$207)</f>
        <v>23800</v>
      </c>
      <c r="AR47" s="384">
        <f>_xlfn.XLOOKUP(AR$27,USDOTBCA_GuidanceFY2026!$B$167:$B$207,USDOTBCA_GuidanceFY2026!$C$167:$C$207)</f>
        <v>23800</v>
      </c>
      <c r="AS47" s="384">
        <f>_xlfn.XLOOKUP(AS$27,USDOTBCA_GuidanceFY2026!$B$167:$B$207,USDOTBCA_GuidanceFY2026!$C$167:$C$207)</f>
        <v>23800</v>
      </c>
      <c r="AT47" s="384">
        <f>_xlfn.XLOOKUP(AT$27,USDOTBCA_GuidanceFY2026!$B$167:$B$207,USDOTBCA_GuidanceFY2026!$C$167:$C$207)</f>
        <v>23800</v>
      </c>
    </row>
    <row r="48" spans="1:46" s="8" customFormat="1" x14ac:dyDescent="0.35">
      <c r="B48" s="8" t="s">
        <v>468</v>
      </c>
      <c r="F48" s="627">
        <f>SUM(G48:AT48)</f>
        <v>2188423.7665365459</v>
      </c>
      <c r="G48" s="385">
        <f>G47*G46</f>
        <v>0</v>
      </c>
      <c r="H48" s="385">
        <f t="shared" ref="H48:AT48" si="5">H47*H46</f>
        <v>0</v>
      </c>
      <c r="I48" s="385">
        <f t="shared" si="5"/>
        <v>0</v>
      </c>
      <c r="J48" s="385">
        <f t="shared" si="5"/>
        <v>0</v>
      </c>
      <c r="K48" s="385">
        <f t="shared" si="5"/>
        <v>0</v>
      </c>
      <c r="L48" s="385">
        <f t="shared" si="5"/>
        <v>0</v>
      </c>
      <c r="M48" s="385">
        <f t="shared" si="5"/>
        <v>0</v>
      </c>
      <c r="N48" s="385">
        <f t="shared" si="5"/>
        <v>0</v>
      </c>
      <c r="O48" s="385">
        <f t="shared" si="5"/>
        <v>0</v>
      </c>
      <c r="P48" s="385">
        <f t="shared" si="5"/>
        <v>23082.872757715191</v>
      </c>
      <c r="Q48" s="385">
        <f t="shared" si="5"/>
        <v>43680.644219013353</v>
      </c>
      <c r="R48" s="385">
        <f t="shared" si="5"/>
        <v>61793.314383894496</v>
      </c>
      <c r="S48" s="385">
        <f t="shared" si="5"/>
        <v>77420.883252358602</v>
      </c>
      <c r="T48" s="385">
        <f t="shared" si="5"/>
        <v>90563.350824405716</v>
      </c>
      <c r="U48" s="385">
        <f t="shared" si="5"/>
        <v>131042.11831662887</v>
      </c>
      <c r="V48" s="385">
        <f t="shared" si="5"/>
        <v>125270.86523965847</v>
      </c>
      <c r="W48" s="385">
        <f t="shared" si="5"/>
        <v>118996.71760791492</v>
      </c>
      <c r="X48" s="385">
        <f t="shared" si="5"/>
        <v>120221.90021769523</v>
      </c>
      <c r="Y48" s="385">
        <f t="shared" si="5"/>
        <v>121403.81097537832</v>
      </c>
      <c r="Z48" s="385">
        <f t="shared" si="5"/>
        <v>122538.43129832008</v>
      </c>
      <c r="AA48" s="385">
        <f t="shared" si="5"/>
        <v>123621.52989759088</v>
      </c>
      <c r="AB48" s="385">
        <f t="shared" si="5"/>
        <v>124648.65328531676</v>
      </c>
      <c r="AC48" s="385">
        <f t="shared" si="5"/>
        <v>125615.11589247933</v>
      </c>
      <c r="AD48" s="385">
        <f t="shared" si="5"/>
        <v>126515.9897819671</v>
      </c>
      <c r="AE48" s="385">
        <f t="shared" si="5"/>
        <v>127346.0939411022</v>
      </c>
      <c r="AF48" s="385">
        <f t="shared" si="5"/>
        <v>128099.9831372662</v>
      </c>
      <c r="AG48" s="385">
        <f t="shared" si="5"/>
        <v>128771.93631963583</v>
      </c>
      <c r="AH48" s="385">
        <f t="shared" si="5"/>
        <v>132158.84789590392</v>
      </c>
      <c r="AI48" s="385">
        <f t="shared" si="5"/>
        <v>135630.70729230004</v>
      </c>
      <c r="AJ48" s="385">
        <f t="shared" si="5"/>
        <v>0</v>
      </c>
      <c r="AK48" s="385">
        <f t="shared" si="5"/>
        <v>0</v>
      </c>
      <c r="AL48" s="385">
        <f t="shared" si="5"/>
        <v>0</v>
      </c>
      <c r="AM48" s="385">
        <f t="shared" si="5"/>
        <v>0</v>
      </c>
      <c r="AN48" s="385">
        <f t="shared" si="5"/>
        <v>0</v>
      </c>
      <c r="AO48" s="385">
        <f t="shared" si="5"/>
        <v>0</v>
      </c>
      <c r="AP48" s="385">
        <f t="shared" si="5"/>
        <v>0</v>
      </c>
      <c r="AQ48" s="385">
        <f t="shared" si="5"/>
        <v>0</v>
      </c>
      <c r="AR48" s="385">
        <f t="shared" si="5"/>
        <v>0</v>
      </c>
      <c r="AS48" s="385">
        <f t="shared" si="5"/>
        <v>0</v>
      </c>
      <c r="AT48" s="385">
        <f t="shared" si="5"/>
        <v>0</v>
      </c>
    </row>
    <row r="49" spans="2:46" x14ac:dyDescent="0.35">
      <c r="F49" s="386"/>
      <c r="G49" s="384"/>
      <c r="H49" s="384"/>
      <c r="I49" s="384"/>
      <c r="J49" s="384"/>
      <c r="K49" s="384"/>
      <c r="L49" s="384"/>
      <c r="M49" s="384"/>
      <c r="N49" s="384"/>
      <c r="O49" s="384"/>
      <c r="P49" s="384"/>
      <c r="Q49" s="384"/>
      <c r="R49" s="384"/>
      <c r="S49" s="384"/>
      <c r="T49" s="384"/>
      <c r="U49" s="384"/>
      <c r="V49" s="384"/>
      <c r="W49" s="384"/>
      <c r="X49" s="384"/>
      <c r="Y49" s="384"/>
      <c r="Z49" s="384"/>
      <c r="AA49" s="384"/>
      <c r="AB49" s="384"/>
      <c r="AC49" s="384"/>
      <c r="AD49" s="384"/>
      <c r="AE49" s="384"/>
      <c r="AF49" s="384"/>
      <c r="AG49" s="384"/>
      <c r="AH49" s="384"/>
      <c r="AI49" s="384"/>
      <c r="AJ49" s="384"/>
      <c r="AK49" s="384"/>
      <c r="AL49" s="384"/>
      <c r="AM49" s="384"/>
      <c r="AN49" s="384"/>
      <c r="AO49" s="384"/>
      <c r="AP49" s="384"/>
      <c r="AQ49" s="384"/>
      <c r="AR49" s="384"/>
      <c r="AS49" s="384"/>
      <c r="AT49" s="384"/>
    </row>
    <row r="50" spans="2:46" x14ac:dyDescent="0.35">
      <c r="B50" t="s">
        <v>469</v>
      </c>
      <c r="F50" s="386"/>
      <c r="G50" s="615">
        <f>_xlfn.XLOOKUP(G$27,MOVES!$B$7:$B$53,MOVES!$H$7:$H$53)</f>
        <v>3.9953841496693027E-9</v>
      </c>
      <c r="H50" s="615">
        <f>_xlfn.XLOOKUP(H$27,MOVES!$B$7:$B$53,MOVES!$H$7:$H$53)</f>
        <v>3.9953841496693027E-9</v>
      </c>
      <c r="I50" s="615">
        <f>_xlfn.XLOOKUP(I$27,MOVES!$B$7:$B$53,MOVES!$H$7:$H$53)</f>
        <v>3.9210123159284271E-9</v>
      </c>
      <c r="J50" s="615">
        <f>_xlfn.XLOOKUP(J$27,MOVES!$B$7:$B$53,MOVES!$H$7:$H$53)</f>
        <v>3.8466404821875514E-9</v>
      </c>
      <c r="K50" s="615">
        <f>_xlfn.XLOOKUP(K$27,MOVES!$B$7:$B$53,MOVES!$H$7:$H$53)</f>
        <v>3.7722686484466758E-9</v>
      </c>
      <c r="L50" s="615">
        <f>_xlfn.XLOOKUP(L$27,MOVES!$B$7:$B$53,MOVES!$H$7:$H$53)</f>
        <v>3.6978968147058006E-9</v>
      </c>
      <c r="M50" s="615">
        <f>_xlfn.XLOOKUP(M$27,MOVES!$B$7:$B$53,MOVES!$H$7:$H$53)</f>
        <v>3.6235249809649258E-9</v>
      </c>
      <c r="N50" s="615">
        <f>_xlfn.XLOOKUP(N$27,MOVES!$B$7:$B$53,MOVES!$H$7:$H$53)</f>
        <v>3.5998669098534236E-9</v>
      </c>
      <c r="O50" s="615">
        <f>_xlfn.XLOOKUP(O$27,MOVES!$B$7:$B$53,MOVES!$H$7:$H$53)</f>
        <v>3.5762088387419214E-9</v>
      </c>
      <c r="P50" s="615">
        <f>_xlfn.XLOOKUP(P$27,MOVES!$B$7:$B$53,MOVES!$H$7:$H$53)</f>
        <v>3.5525507676304191E-9</v>
      </c>
      <c r="Q50" s="615">
        <f>_xlfn.XLOOKUP(Q$27,MOVES!$B$7:$B$53,MOVES!$H$7:$H$53)</f>
        <v>3.5288926965189169E-9</v>
      </c>
      <c r="R50" s="615">
        <f>_xlfn.XLOOKUP(R$27,MOVES!$B$7:$B$53,MOVES!$H$7:$H$53)</f>
        <v>3.5052346254074147E-9</v>
      </c>
      <c r="S50" s="615">
        <f>_xlfn.XLOOKUP(S$27,MOVES!$B$7:$B$53,MOVES!$H$7:$H$53)</f>
        <v>3.4815765542959125E-9</v>
      </c>
      <c r="T50" s="615">
        <f>_xlfn.XLOOKUP(T$27,MOVES!$B$7:$B$53,MOVES!$H$7:$H$53)</f>
        <v>3.4579184831844103E-9</v>
      </c>
      <c r="U50" s="615">
        <f>_xlfn.XLOOKUP(U$27,MOVES!$B$7:$B$53,MOVES!$H$7:$H$53)</f>
        <v>3.4342604120729081E-9</v>
      </c>
      <c r="V50" s="615">
        <f>_xlfn.XLOOKUP(V$27,MOVES!$B$7:$B$53,MOVES!$H$7:$H$53)</f>
        <v>3.4106023409614058E-9</v>
      </c>
      <c r="W50" s="615">
        <f>_xlfn.XLOOKUP(W$27,MOVES!$B$7:$B$53,MOVES!$H$7:$H$53)</f>
        <v>3.386944269849902E-9</v>
      </c>
      <c r="X50" s="615">
        <f>_xlfn.XLOOKUP(X$27,MOVES!$B$7:$B$53,MOVES!$H$7:$H$53)</f>
        <v>3.3803315020353661E-9</v>
      </c>
      <c r="Y50" s="615">
        <f>_xlfn.XLOOKUP(Y$27,MOVES!$B$7:$B$53,MOVES!$H$7:$H$53)</f>
        <v>3.3737187342208303E-9</v>
      </c>
      <c r="Z50" s="615">
        <f>_xlfn.XLOOKUP(Z$27,MOVES!$B$7:$B$53,MOVES!$H$7:$H$53)</f>
        <v>3.3671059664062944E-9</v>
      </c>
      <c r="AA50" s="615">
        <f>_xlfn.XLOOKUP(AA$27,MOVES!$B$7:$B$53,MOVES!$H$7:$H$53)</f>
        <v>3.3604931985917585E-9</v>
      </c>
      <c r="AB50" s="615">
        <f>_xlfn.XLOOKUP(AB$27,MOVES!$B$7:$B$53,MOVES!$H$7:$H$53)</f>
        <v>3.3538804307772227E-9</v>
      </c>
      <c r="AC50" s="615">
        <f>_xlfn.XLOOKUP(AC$27,MOVES!$B$7:$B$53,MOVES!$H$7:$H$53)</f>
        <v>3.3472676629626868E-9</v>
      </c>
      <c r="AD50" s="615">
        <f>_xlfn.XLOOKUP(AD$27,MOVES!$B$7:$B$53,MOVES!$H$7:$H$53)</f>
        <v>3.340654895148151E-9</v>
      </c>
      <c r="AE50" s="615">
        <f>_xlfn.XLOOKUP(AE$27,MOVES!$B$7:$B$53,MOVES!$H$7:$H$53)</f>
        <v>3.3340421273336151E-9</v>
      </c>
      <c r="AF50" s="615">
        <f>_xlfn.XLOOKUP(AF$27,MOVES!$B$7:$B$53,MOVES!$H$7:$H$53)</f>
        <v>3.3274293595190793E-9</v>
      </c>
      <c r="AG50" s="615">
        <f>_xlfn.XLOOKUP(AG$27,MOVES!$B$7:$B$53,MOVES!$H$7:$H$53)</f>
        <v>3.3208165917045417E-9</v>
      </c>
      <c r="AH50" s="615">
        <f>_xlfn.XLOOKUP(AH$27,MOVES!$B$7:$B$53,MOVES!$H$7:$H$53)</f>
        <v>3.318077895866078E-9</v>
      </c>
      <c r="AI50" s="615">
        <f>_xlfn.XLOOKUP(AI$27,MOVES!$B$7:$B$53,MOVES!$H$7:$H$53)</f>
        <v>3.3153392000276142E-9</v>
      </c>
      <c r="AJ50" s="615">
        <f>_xlfn.XLOOKUP(AJ$27,MOVES!$B$7:$B$53,MOVES!$H$7:$H$53)</f>
        <v>3.3126005041891504E-9</v>
      </c>
      <c r="AK50" s="615">
        <f>_xlfn.XLOOKUP(AK$27,MOVES!$B$7:$B$53,MOVES!$H$7:$H$53)</f>
        <v>3.3098618083506866E-9</v>
      </c>
      <c r="AL50" s="615">
        <f>_xlfn.XLOOKUP(AL$27,MOVES!$B$7:$B$53,MOVES!$H$7:$H$53)</f>
        <v>3.3071231125122228E-9</v>
      </c>
      <c r="AM50" s="615">
        <f>_xlfn.XLOOKUP(AM$27,MOVES!$B$7:$B$53,MOVES!$H$7:$H$53)</f>
        <v>3.3043844166737591E-9</v>
      </c>
      <c r="AN50" s="615">
        <f>_xlfn.XLOOKUP(AN$27,MOVES!$B$7:$B$53,MOVES!$H$7:$H$53)</f>
        <v>3.3016457208352953E-9</v>
      </c>
      <c r="AO50" s="615">
        <f>_xlfn.XLOOKUP(AO$27,MOVES!$B$7:$B$53,MOVES!$H$7:$H$53)</f>
        <v>3.2989070249968315E-9</v>
      </c>
      <c r="AP50" s="615">
        <f>_xlfn.XLOOKUP(AP$27,MOVES!$B$7:$B$53,MOVES!$H$7:$H$53)</f>
        <v>3.2961683291583677E-9</v>
      </c>
      <c r="AQ50" s="615">
        <f>_xlfn.XLOOKUP(AQ$27,MOVES!$B$7:$B$53,MOVES!$H$7:$H$53)</f>
        <v>3.2934296333199023E-9</v>
      </c>
      <c r="AR50" s="615">
        <f>_xlfn.XLOOKUP(AR$27,MOVES!$B$7:$B$53,MOVES!$H$7:$H$53)</f>
        <v>3.2934296333199023E-9</v>
      </c>
      <c r="AS50" s="615">
        <f>_xlfn.XLOOKUP(AS$27,MOVES!$B$7:$B$53,MOVES!$H$7:$H$53)</f>
        <v>3.2934296333199023E-9</v>
      </c>
      <c r="AT50" s="615">
        <f>_xlfn.XLOOKUP(AT$27,MOVES!$B$7:$B$53,MOVES!$H$7:$H$53)</f>
        <v>3.2934296333199023E-9</v>
      </c>
    </row>
    <row r="51" spans="2:46" x14ac:dyDescent="0.35">
      <c r="B51" t="s">
        <v>470</v>
      </c>
      <c r="F51" s="386">
        <f>SUM(G51:AT51)</f>
        <v>0.60149037635445946</v>
      </c>
      <c r="G51" s="346">
        <f t="shared" ref="G51:AT51" si="6">G50*G$34*$H$16</f>
        <v>0</v>
      </c>
      <c r="H51" s="346">
        <f t="shared" si="6"/>
        <v>0</v>
      </c>
      <c r="I51" s="346">
        <f t="shared" si="6"/>
        <v>0</v>
      </c>
      <c r="J51" s="346">
        <f t="shared" si="6"/>
        <v>0</v>
      </c>
      <c r="K51" s="346">
        <f t="shared" si="6"/>
        <v>0</v>
      </c>
      <c r="L51" s="346">
        <f t="shared" si="6"/>
        <v>0</v>
      </c>
      <c r="M51" s="346">
        <f t="shared" si="6"/>
        <v>0</v>
      </c>
      <c r="N51" s="346">
        <f t="shared" si="6"/>
        <v>0</v>
      </c>
      <c r="O51" s="346">
        <f t="shared" si="6"/>
        <v>0</v>
      </c>
      <c r="P51" s="346">
        <f t="shared" si="6"/>
        <v>3.9287061787071547E-3</v>
      </c>
      <c r="Q51" s="346">
        <f t="shared" si="6"/>
        <v>7.8050862310721095E-3</v>
      </c>
      <c r="R51" s="346">
        <f t="shared" si="6"/>
        <v>1.1629140157094868E-2</v>
      </c>
      <c r="S51" s="346">
        <f t="shared" si="6"/>
        <v>1.5400867956775425E-2</v>
      </c>
      <c r="T51" s="346">
        <f t="shared" si="6"/>
        <v>1.9120269630113783E-2</v>
      </c>
      <c r="U51" s="346">
        <f t="shared" si="6"/>
        <v>2.9500897329837714E-2</v>
      </c>
      <c r="V51" s="346">
        <f t="shared" si="6"/>
        <v>3.0234235976903622E-2</v>
      </c>
      <c r="W51" s="346">
        <f t="shared" si="6"/>
        <v>3.0984313151927335E-2</v>
      </c>
      <c r="X51" s="346">
        <f t="shared" si="6"/>
        <v>3.1912367562648633E-2</v>
      </c>
      <c r="Y51" s="346">
        <f t="shared" si="6"/>
        <v>3.2868093642757154E-2</v>
      </c>
      <c r="Z51" s="346">
        <f t="shared" si="6"/>
        <v>3.385231218313553E-2</v>
      </c>
      <c r="AA51" s="346">
        <f t="shared" si="6"/>
        <v>3.4865868173703338E-2</v>
      </c>
      <c r="AB51" s="346">
        <f t="shared" si="6"/>
        <v>3.590963151179994E-2</v>
      </c>
      <c r="AC51" s="346">
        <f t="shared" si="6"/>
        <v>3.69844977311286E-2</v>
      </c>
      <c r="AD51" s="346">
        <f t="shared" si="6"/>
        <v>3.8091388751852064E-2</v>
      </c>
      <c r="AE51" s="346">
        <f t="shared" si="6"/>
        <v>3.9231253652447305E-2</v>
      </c>
      <c r="AF51" s="346">
        <f t="shared" si="6"/>
        <v>4.0405069463943941E-2</v>
      </c>
      <c r="AG51" s="346">
        <f t="shared" si="6"/>
        <v>4.1613841987188573E-2</v>
      </c>
      <c r="AH51" s="346">
        <f t="shared" si="6"/>
        <v>4.2908705340971492E-2</v>
      </c>
      <c r="AI51" s="346">
        <f t="shared" si="6"/>
        <v>4.4243829740450921E-2</v>
      </c>
      <c r="AJ51" s="346">
        <f t="shared" si="6"/>
        <v>0</v>
      </c>
      <c r="AK51" s="346">
        <f t="shared" si="6"/>
        <v>0</v>
      </c>
      <c r="AL51" s="346">
        <f t="shared" si="6"/>
        <v>0</v>
      </c>
      <c r="AM51" s="346">
        <f t="shared" si="6"/>
        <v>0</v>
      </c>
      <c r="AN51" s="346">
        <f t="shared" si="6"/>
        <v>0</v>
      </c>
      <c r="AO51" s="346">
        <f t="shared" si="6"/>
        <v>0</v>
      </c>
      <c r="AP51" s="346">
        <f t="shared" si="6"/>
        <v>0</v>
      </c>
      <c r="AQ51" s="346">
        <f t="shared" si="6"/>
        <v>0</v>
      </c>
      <c r="AR51" s="346">
        <f t="shared" si="6"/>
        <v>0</v>
      </c>
      <c r="AS51" s="346">
        <f t="shared" si="6"/>
        <v>0</v>
      </c>
      <c r="AT51" s="346">
        <f t="shared" si="6"/>
        <v>0</v>
      </c>
    </row>
    <row r="52" spans="2:46" x14ac:dyDescent="0.35">
      <c r="B52" t="s">
        <v>471</v>
      </c>
      <c r="F52" s="386"/>
      <c r="G52" s="384">
        <f>H52</f>
        <v>59000</v>
      </c>
      <c r="H52" s="384">
        <f>_xlfn.XLOOKUP(H$27,USDOTBCA_GuidanceFY2026!$B$167:$B$207,USDOTBCA_GuidanceFY2026!$D$167:$D$207)</f>
        <v>59000</v>
      </c>
      <c r="I52" s="384">
        <f>_xlfn.XLOOKUP(I$27,USDOTBCA_GuidanceFY2026!$B$167:$B$207,USDOTBCA_GuidanceFY2026!$D$167:$D$207)</f>
        <v>60100</v>
      </c>
      <c r="J52" s="384">
        <f>_xlfn.XLOOKUP(J$27,USDOTBCA_GuidanceFY2026!$B$167:$B$207,USDOTBCA_GuidanceFY2026!$D$167:$D$207)</f>
        <v>61100</v>
      </c>
      <c r="K52" s="384">
        <f>_xlfn.XLOOKUP(K$27,USDOTBCA_GuidanceFY2026!$B$167:$B$207,USDOTBCA_GuidanceFY2026!$D$167:$D$207)</f>
        <v>62200</v>
      </c>
      <c r="L52" s="384">
        <f>_xlfn.XLOOKUP(L$27,USDOTBCA_GuidanceFY2026!$B$167:$B$207,USDOTBCA_GuidanceFY2026!$D$167:$D$207)</f>
        <v>63400</v>
      </c>
      <c r="M52" s="384">
        <f>_xlfn.XLOOKUP(M$27,USDOTBCA_GuidanceFY2026!$B$167:$B$207,USDOTBCA_GuidanceFY2026!$D$167:$D$207)</f>
        <v>64500</v>
      </c>
      <c r="N52" s="384">
        <f>_xlfn.XLOOKUP(N$27,USDOTBCA_GuidanceFY2026!$B$167:$B$207,USDOTBCA_GuidanceFY2026!$D$167:$D$207)</f>
        <v>64500</v>
      </c>
      <c r="O52" s="384">
        <f>_xlfn.XLOOKUP(O$27,USDOTBCA_GuidanceFY2026!$B$167:$B$207,USDOTBCA_GuidanceFY2026!$D$167:$D$207)</f>
        <v>64500</v>
      </c>
      <c r="P52" s="384">
        <f>_xlfn.XLOOKUP(P$27,USDOTBCA_GuidanceFY2026!$B$167:$B$207,USDOTBCA_GuidanceFY2026!$D$167:$D$207)</f>
        <v>64500</v>
      </c>
      <c r="Q52" s="384">
        <f>_xlfn.XLOOKUP(Q$27,USDOTBCA_GuidanceFY2026!$B$167:$B$207,USDOTBCA_GuidanceFY2026!$D$167:$D$207)</f>
        <v>64500</v>
      </c>
      <c r="R52" s="384">
        <f>_xlfn.XLOOKUP(R$27,USDOTBCA_GuidanceFY2026!$B$167:$B$207,USDOTBCA_GuidanceFY2026!$D$167:$D$207)</f>
        <v>64500</v>
      </c>
      <c r="S52" s="384">
        <f>_xlfn.XLOOKUP(S$27,USDOTBCA_GuidanceFY2026!$B$167:$B$207,USDOTBCA_GuidanceFY2026!$D$167:$D$207)</f>
        <v>64500</v>
      </c>
      <c r="T52" s="384">
        <f>_xlfn.XLOOKUP(T$27,USDOTBCA_GuidanceFY2026!$B$167:$B$207,USDOTBCA_GuidanceFY2026!$D$167:$D$207)</f>
        <v>64500</v>
      </c>
      <c r="U52" s="384">
        <f>_xlfn.XLOOKUP(U$27,USDOTBCA_GuidanceFY2026!$B$167:$B$207,USDOTBCA_GuidanceFY2026!$D$167:$D$207)</f>
        <v>64500</v>
      </c>
      <c r="V52" s="384">
        <f>_xlfn.XLOOKUP(V$27,USDOTBCA_GuidanceFY2026!$B$167:$B$207,USDOTBCA_GuidanceFY2026!$D$167:$D$207)</f>
        <v>64500</v>
      </c>
      <c r="W52" s="384">
        <f>_xlfn.XLOOKUP(W$27,USDOTBCA_GuidanceFY2026!$B$167:$B$207,USDOTBCA_GuidanceFY2026!$D$167:$D$207)</f>
        <v>64500</v>
      </c>
      <c r="X52" s="384">
        <f>_xlfn.XLOOKUP(X$27,USDOTBCA_GuidanceFY2026!$B$167:$B$207,USDOTBCA_GuidanceFY2026!$D$167:$D$207)</f>
        <v>64500</v>
      </c>
      <c r="Y52" s="384">
        <f>_xlfn.XLOOKUP(Y$27,USDOTBCA_GuidanceFY2026!$B$167:$B$207,USDOTBCA_GuidanceFY2026!$D$167:$D$207)</f>
        <v>64500</v>
      </c>
      <c r="Z52" s="384">
        <f>_xlfn.XLOOKUP(Z$27,USDOTBCA_GuidanceFY2026!$B$167:$B$207,USDOTBCA_GuidanceFY2026!$D$167:$D$207)</f>
        <v>64500</v>
      </c>
      <c r="AA52" s="384">
        <f>_xlfn.XLOOKUP(AA$27,USDOTBCA_GuidanceFY2026!$B$167:$B$207,USDOTBCA_GuidanceFY2026!$D$167:$D$207)</f>
        <v>64500</v>
      </c>
      <c r="AB52" s="384">
        <f>_xlfn.XLOOKUP(AB$27,USDOTBCA_GuidanceFY2026!$B$167:$B$207,USDOTBCA_GuidanceFY2026!$D$167:$D$207)</f>
        <v>64500</v>
      </c>
      <c r="AC52" s="384">
        <f>_xlfn.XLOOKUP(AC$27,USDOTBCA_GuidanceFY2026!$B$167:$B$207,USDOTBCA_GuidanceFY2026!$D$167:$D$207)</f>
        <v>64500</v>
      </c>
      <c r="AD52" s="384">
        <f>_xlfn.XLOOKUP(AD$27,USDOTBCA_GuidanceFY2026!$B$167:$B$207,USDOTBCA_GuidanceFY2026!$D$167:$D$207)</f>
        <v>64500</v>
      </c>
      <c r="AE52" s="384">
        <f>_xlfn.XLOOKUP(AE$27,USDOTBCA_GuidanceFY2026!$B$167:$B$207,USDOTBCA_GuidanceFY2026!$D$167:$D$207)</f>
        <v>64500</v>
      </c>
      <c r="AF52" s="384">
        <f>_xlfn.XLOOKUP(AF$27,USDOTBCA_GuidanceFY2026!$B$167:$B$207,USDOTBCA_GuidanceFY2026!$D$167:$D$207)</f>
        <v>64500</v>
      </c>
      <c r="AG52" s="384">
        <f>_xlfn.XLOOKUP(AG$27,USDOTBCA_GuidanceFY2026!$B$167:$B$207,USDOTBCA_GuidanceFY2026!$D$167:$D$207)</f>
        <v>64500</v>
      </c>
      <c r="AH52" s="384">
        <f>_xlfn.XLOOKUP(AH$27,USDOTBCA_GuidanceFY2026!$B$167:$B$207,USDOTBCA_GuidanceFY2026!$D$167:$D$207)</f>
        <v>64500</v>
      </c>
      <c r="AI52" s="384">
        <f>_xlfn.XLOOKUP(AI$27,USDOTBCA_GuidanceFY2026!$B$167:$B$207,USDOTBCA_GuidanceFY2026!$D$167:$D$207)</f>
        <v>64500</v>
      </c>
      <c r="AJ52" s="384">
        <f>_xlfn.XLOOKUP(AJ$27,USDOTBCA_GuidanceFY2026!$B$167:$B$207,USDOTBCA_GuidanceFY2026!$D$167:$D$207)</f>
        <v>64500</v>
      </c>
      <c r="AK52" s="384">
        <f>_xlfn.XLOOKUP(AK$27,USDOTBCA_GuidanceFY2026!$B$167:$B$207,USDOTBCA_GuidanceFY2026!$D$167:$D$207)</f>
        <v>64500</v>
      </c>
      <c r="AL52" s="384">
        <f>_xlfn.XLOOKUP(AL$27,USDOTBCA_GuidanceFY2026!$B$167:$B$207,USDOTBCA_GuidanceFY2026!$D$167:$D$207)</f>
        <v>64500</v>
      </c>
      <c r="AM52" s="384">
        <f>_xlfn.XLOOKUP(AM$27,USDOTBCA_GuidanceFY2026!$B$167:$B$207,USDOTBCA_GuidanceFY2026!$D$167:$D$207)</f>
        <v>64500</v>
      </c>
      <c r="AN52" s="384">
        <f>_xlfn.XLOOKUP(AN$27,USDOTBCA_GuidanceFY2026!$B$167:$B$207,USDOTBCA_GuidanceFY2026!$D$167:$D$207)</f>
        <v>64500</v>
      </c>
      <c r="AO52" s="384">
        <f>_xlfn.XLOOKUP(AO$27,USDOTBCA_GuidanceFY2026!$B$167:$B$207,USDOTBCA_GuidanceFY2026!$D$167:$D$207)</f>
        <v>64500</v>
      </c>
      <c r="AP52" s="384">
        <f>_xlfn.XLOOKUP(AP$27,USDOTBCA_GuidanceFY2026!$B$167:$B$207,USDOTBCA_GuidanceFY2026!$D$167:$D$207)</f>
        <v>64500</v>
      </c>
      <c r="AQ52" s="384">
        <f>_xlfn.XLOOKUP(AQ$27,USDOTBCA_GuidanceFY2026!$B$167:$B$207,USDOTBCA_GuidanceFY2026!$D$167:$D$207)</f>
        <v>64500</v>
      </c>
      <c r="AR52" s="384">
        <f>_xlfn.XLOOKUP(AR$27,USDOTBCA_GuidanceFY2026!$B$167:$B$207,USDOTBCA_GuidanceFY2026!$D$167:$D$207)</f>
        <v>64500</v>
      </c>
      <c r="AS52" s="384">
        <f>_xlfn.XLOOKUP(AS$27,USDOTBCA_GuidanceFY2026!$B$167:$B$207,USDOTBCA_GuidanceFY2026!$D$167:$D$207)</f>
        <v>64500</v>
      </c>
      <c r="AT52" s="384">
        <f>_xlfn.XLOOKUP(AT$27,USDOTBCA_GuidanceFY2026!$B$167:$B$207,USDOTBCA_GuidanceFY2026!$D$167:$D$207)</f>
        <v>64500</v>
      </c>
    </row>
    <row r="53" spans="2:46" s="8" customFormat="1" x14ac:dyDescent="0.35">
      <c r="B53" s="8" t="s">
        <v>472</v>
      </c>
      <c r="F53" s="628">
        <f>SUM(G53:AT53)</f>
        <v>38796.129274862644</v>
      </c>
      <c r="G53" s="385">
        <f t="shared" ref="G53:AT53" si="7">G52*G51</f>
        <v>0</v>
      </c>
      <c r="H53" s="385">
        <f t="shared" si="7"/>
        <v>0</v>
      </c>
      <c r="I53" s="385">
        <f t="shared" si="7"/>
        <v>0</v>
      </c>
      <c r="J53" s="385">
        <f t="shared" si="7"/>
        <v>0</v>
      </c>
      <c r="K53" s="385">
        <f t="shared" si="7"/>
        <v>0</v>
      </c>
      <c r="L53" s="385">
        <f t="shared" si="7"/>
        <v>0</v>
      </c>
      <c r="M53" s="385">
        <f t="shared" si="7"/>
        <v>0</v>
      </c>
      <c r="N53" s="385">
        <f t="shared" si="7"/>
        <v>0</v>
      </c>
      <c r="O53" s="385">
        <f t="shared" si="7"/>
        <v>0</v>
      </c>
      <c r="P53" s="385">
        <f t="shared" si="7"/>
        <v>253.40154852661146</v>
      </c>
      <c r="Q53" s="385">
        <f t="shared" si="7"/>
        <v>503.42806190415104</v>
      </c>
      <c r="R53" s="385">
        <f t="shared" si="7"/>
        <v>750.07954013261894</v>
      </c>
      <c r="S53" s="385">
        <f t="shared" si="7"/>
        <v>993.35598321201485</v>
      </c>
      <c r="T53" s="385">
        <f t="shared" si="7"/>
        <v>1233.257391142339</v>
      </c>
      <c r="U53" s="385">
        <f t="shared" si="7"/>
        <v>1902.8078777745325</v>
      </c>
      <c r="V53" s="385">
        <f t="shared" si="7"/>
        <v>1950.1082205102837</v>
      </c>
      <c r="W53" s="385">
        <f t="shared" si="7"/>
        <v>1998.4881982993131</v>
      </c>
      <c r="X53" s="385">
        <f t="shared" si="7"/>
        <v>2058.3477077908369</v>
      </c>
      <c r="Y53" s="385">
        <f t="shared" si="7"/>
        <v>2119.9920399578364</v>
      </c>
      <c r="Z53" s="385">
        <f t="shared" si="7"/>
        <v>2183.4741358122419</v>
      </c>
      <c r="AA53" s="385">
        <f t="shared" si="7"/>
        <v>2248.8484972038655</v>
      </c>
      <c r="AB53" s="385">
        <f t="shared" si="7"/>
        <v>2316.1712325110962</v>
      </c>
      <c r="AC53" s="385">
        <f t="shared" si="7"/>
        <v>2385.5001036577946</v>
      </c>
      <c r="AD53" s="385">
        <f t="shared" si="7"/>
        <v>2456.8945744944581</v>
      </c>
      <c r="AE53" s="385">
        <f t="shared" si="7"/>
        <v>2530.4158605828511</v>
      </c>
      <c r="AF53" s="385">
        <f t="shared" si="7"/>
        <v>2606.1269804243843</v>
      </c>
      <c r="AG53" s="385">
        <f t="shared" si="7"/>
        <v>2684.0928081736629</v>
      </c>
      <c r="AH53" s="385">
        <f t="shared" si="7"/>
        <v>2767.6114944926612</v>
      </c>
      <c r="AI53" s="385">
        <f t="shared" si="7"/>
        <v>2853.7270182590846</v>
      </c>
      <c r="AJ53" s="385">
        <f t="shared" si="7"/>
        <v>0</v>
      </c>
      <c r="AK53" s="385">
        <f t="shared" si="7"/>
        <v>0</v>
      </c>
      <c r="AL53" s="385">
        <f t="shared" si="7"/>
        <v>0</v>
      </c>
      <c r="AM53" s="385">
        <f t="shared" si="7"/>
        <v>0</v>
      </c>
      <c r="AN53" s="385">
        <f t="shared" si="7"/>
        <v>0</v>
      </c>
      <c r="AO53" s="385">
        <f t="shared" si="7"/>
        <v>0</v>
      </c>
      <c r="AP53" s="385">
        <f t="shared" si="7"/>
        <v>0</v>
      </c>
      <c r="AQ53" s="385">
        <f t="shared" si="7"/>
        <v>0</v>
      </c>
      <c r="AR53" s="385">
        <f t="shared" si="7"/>
        <v>0</v>
      </c>
      <c r="AS53" s="385">
        <f t="shared" si="7"/>
        <v>0</v>
      </c>
      <c r="AT53" s="385">
        <f t="shared" si="7"/>
        <v>0</v>
      </c>
    </row>
    <row r="54" spans="2:46" x14ac:dyDescent="0.35">
      <c r="F54" s="386"/>
      <c r="G54" s="384"/>
      <c r="H54" s="384"/>
      <c r="I54" s="384"/>
      <c r="J54" s="384"/>
      <c r="K54" s="384"/>
      <c r="L54" s="384"/>
      <c r="M54" s="384"/>
      <c r="N54" s="384"/>
      <c r="O54" s="384"/>
      <c r="P54" s="384"/>
      <c r="Q54" s="384"/>
      <c r="R54" s="384"/>
      <c r="S54" s="384"/>
      <c r="T54" s="384"/>
      <c r="U54" s="384"/>
      <c r="V54" s="384"/>
      <c r="W54" s="384"/>
      <c r="X54" s="384"/>
      <c r="Y54" s="384"/>
      <c r="Z54" s="384"/>
      <c r="AA54" s="384"/>
      <c r="AB54" s="384"/>
      <c r="AC54" s="384"/>
      <c r="AD54" s="384"/>
      <c r="AE54" s="384"/>
      <c r="AF54" s="384"/>
      <c r="AG54" s="384"/>
      <c r="AH54" s="384"/>
      <c r="AI54" s="384"/>
      <c r="AJ54" s="384"/>
      <c r="AK54" s="384"/>
      <c r="AL54" s="384"/>
      <c r="AM54" s="384"/>
      <c r="AN54" s="384"/>
      <c r="AO54" s="384"/>
      <c r="AP54" s="384"/>
      <c r="AQ54" s="384"/>
      <c r="AR54" s="384"/>
      <c r="AS54" s="384"/>
      <c r="AT54" s="384"/>
    </row>
    <row r="55" spans="2:46" x14ac:dyDescent="0.35">
      <c r="B55" t="s">
        <v>473</v>
      </c>
      <c r="F55" s="386"/>
      <c r="G55" s="614">
        <f>_xlfn.XLOOKUP(G$27,MOVES!$B$7:$B$53,MOVES!$G$7:$G$53)</f>
        <v>4.0881942321533319E-8</v>
      </c>
      <c r="H55" s="614">
        <f>_xlfn.XLOOKUP(H$27,MOVES!$B$7:$B$53,MOVES!$G$7:$G$53)</f>
        <v>4.0881942321533319E-8</v>
      </c>
      <c r="I55" s="614">
        <f>_xlfn.XLOOKUP(I$27,MOVES!$B$7:$B$53,MOVES!$G$7:$G$53)</f>
        <v>3.6194735648556299E-8</v>
      </c>
      <c r="J55" s="614">
        <f>_xlfn.XLOOKUP(J$27,MOVES!$B$7:$B$53,MOVES!$G$7:$G$53)</f>
        <v>3.1507528975579278E-8</v>
      </c>
      <c r="K55" s="614">
        <f>_xlfn.XLOOKUP(K$27,MOVES!$B$7:$B$53,MOVES!$G$7:$G$53)</f>
        <v>2.682032230260226E-8</v>
      </c>
      <c r="L55" s="614">
        <f>_xlfn.XLOOKUP(L$27,MOVES!$B$7:$B$53,MOVES!$G$7:$G$53)</f>
        <v>2.2133115629625243E-8</v>
      </c>
      <c r="M55" s="614">
        <f>_xlfn.XLOOKUP(M$27,MOVES!$B$7:$B$53,MOVES!$G$7:$G$53)</f>
        <v>1.7445908956648229E-8</v>
      </c>
      <c r="N55" s="614">
        <f>_xlfn.XLOOKUP(N$27,MOVES!$B$7:$B$53,MOVES!$G$7:$G$53)</f>
        <v>1.6216122348700816E-8</v>
      </c>
      <c r="O55" s="614">
        <f>_xlfn.XLOOKUP(O$27,MOVES!$B$7:$B$53,MOVES!$G$7:$G$53)</f>
        <v>1.4986335740753404E-8</v>
      </c>
      <c r="P55" s="614">
        <f>_xlfn.XLOOKUP(P$27,MOVES!$B$7:$B$53,MOVES!$G$7:$G$53)</f>
        <v>1.3756549132805992E-8</v>
      </c>
      <c r="Q55" s="614">
        <f>_xlfn.XLOOKUP(Q$27,MOVES!$B$7:$B$53,MOVES!$G$7:$G$53)</f>
        <v>1.252676252485858E-8</v>
      </c>
      <c r="R55" s="614">
        <f>_xlfn.XLOOKUP(R$27,MOVES!$B$7:$B$53,MOVES!$G$7:$G$53)</f>
        <v>1.1296975916911167E-8</v>
      </c>
      <c r="S55" s="614">
        <f>_xlfn.XLOOKUP(S$27,MOVES!$B$7:$B$53,MOVES!$G$7:$G$53)</f>
        <v>1.0067189308963755E-8</v>
      </c>
      <c r="T55" s="614">
        <f>_xlfn.XLOOKUP(T$27,MOVES!$B$7:$B$53,MOVES!$G$7:$G$53)</f>
        <v>8.8374027010163429E-9</v>
      </c>
      <c r="U55" s="614">
        <f>_xlfn.XLOOKUP(U$27,MOVES!$B$7:$B$53,MOVES!$G$7:$G$53)</f>
        <v>7.6076160930689306E-9</v>
      </c>
      <c r="V55" s="614">
        <f>_xlfn.XLOOKUP(V$27,MOVES!$B$7:$B$53,MOVES!$G$7:$G$53)</f>
        <v>6.3778294851215184E-9</v>
      </c>
      <c r="W55" s="614">
        <f>_xlfn.XLOOKUP(W$27,MOVES!$B$7:$B$53,MOVES!$G$7:$G$53)</f>
        <v>5.1480428771741036E-9</v>
      </c>
      <c r="X55" s="614">
        <f>_xlfn.XLOOKUP(X$27,MOVES!$B$7:$B$53,MOVES!$G$7:$G$53)</f>
        <v>4.890240484340533E-9</v>
      </c>
      <c r="Y55" s="614">
        <f>_xlfn.XLOOKUP(Y$27,MOVES!$B$7:$B$53,MOVES!$G$7:$G$53)</f>
        <v>4.6324380915069623E-9</v>
      </c>
      <c r="Z55" s="614">
        <f>_xlfn.XLOOKUP(Z$27,MOVES!$B$7:$B$53,MOVES!$G$7:$G$53)</f>
        <v>4.3746356986733917E-9</v>
      </c>
      <c r="AA55" s="614">
        <f>_xlfn.XLOOKUP(AA$27,MOVES!$B$7:$B$53,MOVES!$G$7:$G$53)</f>
        <v>4.116833305839821E-9</v>
      </c>
      <c r="AB55" s="614">
        <f>_xlfn.XLOOKUP(AB$27,MOVES!$B$7:$B$53,MOVES!$G$7:$G$53)</f>
        <v>3.8590309130062504E-9</v>
      </c>
      <c r="AC55" s="614">
        <f>_xlfn.XLOOKUP(AC$27,MOVES!$B$7:$B$53,MOVES!$G$7:$G$53)</f>
        <v>3.6012285201726797E-9</v>
      </c>
      <c r="AD55" s="614">
        <f>_xlfn.XLOOKUP(AD$27,MOVES!$B$7:$B$53,MOVES!$G$7:$G$53)</f>
        <v>3.3434261273391091E-9</v>
      </c>
      <c r="AE55" s="614">
        <f>_xlfn.XLOOKUP(AE$27,MOVES!$B$7:$B$53,MOVES!$G$7:$G$53)</f>
        <v>3.0856237345055384E-9</v>
      </c>
      <c r="AF55" s="614">
        <f>_xlfn.XLOOKUP(AF$27,MOVES!$B$7:$B$53,MOVES!$G$7:$G$53)</f>
        <v>2.8278213416719678E-9</v>
      </c>
      <c r="AG55" s="614">
        <f>_xlfn.XLOOKUP(AG$27,MOVES!$B$7:$B$53,MOVES!$G$7:$G$53)</f>
        <v>2.5700189488383972E-9</v>
      </c>
      <c r="AH55" s="614">
        <f>_xlfn.XLOOKUP(AH$27,MOVES!$B$7:$B$53,MOVES!$G$7:$G$53)</f>
        <v>2.5599190733931761E-9</v>
      </c>
      <c r="AI55" s="614">
        <f>_xlfn.XLOOKUP(AI$27,MOVES!$B$7:$B$53,MOVES!$G$7:$G$53)</f>
        <v>2.5498191979479551E-9</v>
      </c>
      <c r="AJ55" s="614">
        <f>_xlfn.XLOOKUP(AJ$27,MOVES!$B$7:$B$53,MOVES!$G$7:$G$53)</f>
        <v>2.5397193225027341E-9</v>
      </c>
      <c r="AK55" s="614">
        <f>_xlfn.XLOOKUP(AK$27,MOVES!$B$7:$B$53,MOVES!$G$7:$G$53)</f>
        <v>2.529619447057513E-9</v>
      </c>
      <c r="AL55" s="614">
        <f>_xlfn.XLOOKUP(AL$27,MOVES!$B$7:$B$53,MOVES!$G$7:$G$53)</f>
        <v>2.519519571612292E-9</v>
      </c>
      <c r="AM55" s="614">
        <f>_xlfn.XLOOKUP(AM$27,MOVES!$B$7:$B$53,MOVES!$G$7:$G$53)</f>
        <v>2.509419696167071E-9</v>
      </c>
      <c r="AN55" s="614">
        <f>_xlfn.XLOOKUP(AN$27,MOVES!$B$7:$B$53,MOVES!$G$7:$G$53)</f>
        <v>2.4993198207218499E-9</v>
      </c>
      <c r="AO55" s="614">
        <f>_xlfn.XLOOKUP(AO$27,MOVES!$B$7:$B$53,MOVES!$G$7:$G$53)</f>
        <v>2.4892199452766289E-9</v>
      </c>
      <c r="AP55" s="614">
        <f>_xlfn.XLOOKUP(AP$27,MOVES!$B$7:$B$53,MOVES!$G$7:$G$53)</f>
        <v>2.4791200698314079E-9</v>
      </c>
      <c r="AQ55" s="614">
        <f>_xlfn.XLOOKUP(AQ$27,MOVES!$B$7:$B$53,MOVES!$G$7:$G$53)</f>
        <v>2.4690201943861856E-9</v>
      </c>
      <c r="AR55" s="614">
        <f>_xlfn.XLOOKUP(AR$27,MOVES!$B$7:$B$53,MOVES!$G$7:$G$53)</f>
        <v>2.4690201943861856E-9</v>
      </c>
      <c r="AS55" s="614">
        <f>_xlfn.XLOOKUP(AS$27,MOVES!$B$7:$B$53,MOVES!$G$7:$G$53)</f>
        <v>2.4690201943861856E-9</v>
      </c>
      <c r="AT55" s="614">
        <f>_xlfn.XLOOKUP(AT$27,MOVES!$B$7:$B$53,MOVES!$G$7:$G$53)</f>
        <v>2.4690201943861856E-9</v>
      </c>
    </row>
    <row r="56" spans="2:46" x14ac:dyDescent="0.35">
      <c r="B56" t="s">
        <v>474</v>
      </c>
      <c r="F56" s="386">
        <f>SUM(G56:AT56)</f>
        <v>0.80998955825037244</v>
      </c>
      <c r="G56" s="346">
        <f t="shared" ref="G56:AT56" si="8">G55*G$34*$H$16</f>
        <v>0</v>
      </c>
      <c r="H56" s="346">
        <f t="shared" si="8"/>
        <v>0</v>
      </c>
      <c r="I56" s="346">
        <f t="shared" si="8"/>
        <v>0</v>
      </c>
      <c r="J56" s="346">
        <f t="shared" si="8"/>
        <v>0</v>
      </c>
      <c r="K56" s="346">
        <f t="shared" si="8"/>
        <v>0</v>
      </c>
      <c r="L56" s="346">
        <f t="shared" si="8"/>
        <v>0</v>
      </c>
      <c r="M56" s="346">
        <f t="shared" si="8"/>
        <v>0</v>
      </c>
      <c r="N56" s="346">
        <f t="shared" si="8"/>
        <v>0</v>
      </c>
      <c r="O56" s="346">
        <f t="shared" si="8"/>
        <v>0</v>
      </c>
      <c r="P56" s="346">
        <f t="shared" si="8"/>
        <v>1.5213136450627614E-2</v>
      </c>
      <c r="Q56" s="346">
        <f t="shared" si="8"/>
        <v>2.7706272225032979E-2</v>
      </c>
      <c r="R56" s="346">
        <f t="shared" si="8"/>
        <v>3.7479407323216085E-2</v>
      </c>
      <c r="S56" s="346">
        <f t="shared" si="8"/>
        <v>4.453254174517695E-2</v>
      </c>
      <c r="T56" s="346">
        <f t="shared" si="8"/>
        <v>4.8865675490915556E-2</v>
      </c>
      <c r="U56" s="346">
        <f t="shared" si="8"/>
        <v>6.5350752231098722E-2</v>
      </c>
      <c r="V56" s="346">
        <f t="shared" si="8"/>
        <v>5.6538048824320487E-2</v>
      </c>
      <c r="W56" s="346">
        <f t="shared" si="8"/>
        <v>4.7095127618672121E-2</v>
      </c>
      <c r="X56" s="346">
        <f t="shared" si="8"/>
        <v>4.6166818760838578E-2</v>
      </c>
      <c r="Y56" s="346">
        <f t="shared" si="8"/>
        <v>4.5131032246851131E-2</v>
      </c>
      <c r="Z56" s="346">
        <f t="shared" si="8"/>
        <v>4.3981845191833589E-2</v>
      </c>
      <c r="AA56" s="346">
        <f t="shared" si="8"/>
        <v>4.2713065866246312E-2</v>
      </c>
      <c r="AB56" s="346">
        <f t="shared" si="8"/>
        <v>4.1318222560064816E-2</v>
      </c>
      <c r="AC56" s="346">
        <f t="shared" si="8"/>
        <v>3.9790552009729377E-2</v>
      </c>
      <c r="AD56" s="346">
        <f t="shared" si="8"/>
        <v>3.8122987371290648E-2</v>
      </c>
      <c r="AE56" s="346">
        <f t="shared" si="8"/>
        <v>3.6308145722564696E-2</v>
      </c>
      <c r="AF56" s="346">
        <f t="shared" si="8"/>
        <v>3.4338315076474842E-2</v>
      </c>
      <c r="AG56" s="346">
        <f t="shared" si="8"/>
        <v>3.2205440887099999E-2</v>
      </c>
      <c r="AH56" s="346">
        <f t="shared" si="8"/>
        <v>3.3104350369173474E-2</v>
      </c>
      <c r="AI56" s="346">
        <f t="shared" si="8"/>
        <v>3.402782027914452E-2</v>
      </c>
      <c r="AJ56" s="346">
        <f t="shared" si="8"/>
        <v>0</v>
      </c>
      <c r="AK56" s="346">
        <f t="shared" si="8"/>
        <v>0</v>
      </c>
      <c r="AL56" s="346">
        <f t="shared" si="8"/>
        <v>0</v>
      </c>
      <c r="AM56" s="346">
        <f t="shared" si="8"/>
        <v>0</v>
      </c>
      <c r="AN56" s="346">
        <f t="shared" si="8"/>
        <v>0</v>
      </c>
      <c r="AO56" s="346">
        <f t="shared" si="8"/>
        <v>0</v>
      </c>
      <c r="AP56" s="346">
        <f t="shared" si="8"/>
        <v>0</v>
      </c>
      <c r="AQ56" s="346">
        <f t="shared" si="8"/>
        <v>0</v>
      </c>
      <c r="AR56" s="346">
        <f t="shared" si="8"/>
        <v>0</v>
      </c>
      <c r="AS56" s="346">
        <f t="shared" si="8"/>
        <v>0</v>
      </c>
      <c r="AT56" s="346">
        <f t="shared" si="8"/>
        <v>0</v>
      </c>
    </row>
    <row r="57" spans="2:46" x14ac:dyDescent="0.35">
      <c r="B57" t="s">
        <v>475</v>
      </c>
      <c r="F57" s="386"/>
      <c r="G57" s="384">
        <f>H57</f>
        <v>1054000</v>
      </c>
      <c r="H57" s="384">
        <f>_xlfn.XLOOKUP(H$27,USDOTBCA_GuidanceFY2026!$B$167:$B$207,USDOTBCA_GuidanceFY2026!$E$167:$E$207)</f>
        <v>1054000</v>
      </c>
      <c r="I57" s="384">
        <f>_xlfn.XLOOKUP(I$27,USDOTBCA_GuidanceFY2026!$B$167:$B$207,USDOTBCA_GuidanceFY2026!$E$167:$E$207)</f>
        <v>1070700</v>
      </c>
      <c r="J57" s="384">
        <f>_xlfn.XLOOKUP(J$27,USDOTBCA_GuidanceFY2026!$B$167:$B$207,USDOTBCA_GuidanceFY2026!$E$167:$E$207)</f>
        <v>1087800</v>
      </c>
      <c r="K57" s="384">
        <f>_xlfn.XLOOKUP(K$27,USDOTBCA_GuidanceFY2026!$B$167:$B$207,USDOTBCA_GuidanceFY2026!$E$167:$E$207)</f>
        <v>1105100</v>
      </c>
      <c r="L57" s="384">
        <f>_xlfn.XLOOKUP(L$27,USDOTBCA_GuidanceFY2026!$B$167:$B$207,USDOTBCA_GuidanceFY2026!$E$167:$E$207)</f>
        <v>1122600</v>
      </c>
      <c r="M57" s="384">
        <f>_xlfn.XLOOKUP(M$27,USDOTBCA_GuidanceFY2026!$B$167:$B$207,USDOTBCA_GuidanceFY2026!$E$167:$E$207)</f>
        <v>1140500</v>
      </c>
      <c r="N57" s="384">
        <f>_xlfn.XLOOKUP(N$27,USDOTBCA_GuidanceFY2026!$B$167:$B$207,USDOTBCA_GuidanceFY2026!$E$167:$E$207)</f>
        <v>1140500</v>
      </c>
      <c r="O57" s="384">
        <f>_xlfn.XLOOKUP(O$27,USDOTBCA_GuidanceFY2026!$B$167:$B$207,USDOTBCA_GuidanceFY2026!$E$167:$E$207)</f>
        <v>1140500</v>
      </c>
      <c r="P57" s="384">
        <f>_xlfn.XLOOKUP(P$27,USDOTBCA_GuidanceFY2026!$B$167:$B$207,USDOTBCA_GuidanceFY2026!$E$167:$E$207)</f>
        <v>1140500</v>
      </c>
      <c r="Q57" s="384">
        <f>_xlfn.XLOOKUP(Q$27,USDOTBCA_GuidanceFY2026!$B$167:$B$207,USDOTBCA_GuidanceFY2026!$E$167:$E$207)</f>
        <v>1140500</v>
      </c>
      <c r="R57" s="384">
        <f>_xlfn.XLOOKUP(R$27,USDOTBCA_GuidanceFY2026!$B$167:$B$207,USDOTBCA_GuidanceFY2026!$E$167:$E$207)</f>
        <v>1140500</v>
      </c>
      <c r="S57" s="384">
        <f>_xlfn.XLOOKUP(S$27,USDOTBCA_GuidanceFY2026!$B$167:$B$207,USDOTBCA_GuidanceFY2026!$E$167:$E$207)</f>
        <v>1140500</v>
      </c>
      <c r="T57" s="384">
        <f>_xlfn.XLOOKUP(T$27,USDOTBCA_GuidanceFY2026!$B$167:$B$207,USDOTBCA_GuidanceFY2026!$E$167:$E$207)</f>
        <v>1140500</v>
      </c>
      <c r="U57" s="384">
        <f>_xlfn.XLOOKUP(U$27,USDOTBCA_GuidanceFY2026!$B$167:$B$207,USDOTBCA_GuidanceFY2026!$E$167:$E$207)</f>
        <v>1140500</v>
      </c>
      <c r="V57" s="384">
        <f>_xlfn.XLOOKUP(V$27,USDOTBCA_GuidanceFY2026!$B$167:$B$207,USDOTBCA_GuidanceFY2026!$E$167:$E$207)</f>
        <v>1140500</v>
      </c>
      <c r="W57" s="384">
        <f>_xlfn.XLOOKUP(W$27,USDOTBCA_GuidanceFY2026!$B$167:$B$207,USDOTBCA_GuidanceFY2026!$E$167:$E$207)</f>
        <v>1140500</v>
      </c>
      <c r="X57" s="384">
        <f>_xlfn.XLOOKUP(X$27,USDOTBCA_GuidanceFY2026!$B$167:$B$207,USDOTBCA_GuidanceFY2026!$E$167:$E$207)</f>
        <v>1140500</v>
      </c>
      <c r="Y57" s="384">
        <f>_xlfn.XLOOKUP(Y$27,USDOTBCA_GuidanceFY2026!$B$167:$B$207,USDOTBCA_GuidanceFY2026!$E$167:$E$207)</f>
        <v>1140500</v>
      </c>
      <c r="Z57" s="384">
        <f>_xlfn.XLOOKUP(Z$27,USDOTBCA_GuidanceFY2026!$B$167:$B$207,USDOTBCA_GuidanceFY2026!$E$167:$E$207)</f>
        <v>1140500</v>
      </c>
      <c r="AA57" s="384">
        <f>_xlfn.XLOOKUP(AA$27,USDOTBCA_GuidanceFY2026!$B$167:$B$207,USDOTBCA_GuidanceFY2026!$E$167:$E$207)</f>
        <v>1140500</v>
      </c>
      <c r="AB57" s="384">
        <f>_xlfn.XLOOKUP(AB$27,USDOTBCA_GuidanceFY2026!$B$167:$B$207,USDOTBCA_GuidanceFY2026!$E$167:$E$207)</f>
        <v>1140500</v>
      </c>
      <c r="AC57" s="384">
        <f>_xlfn.XLOOKUP(AC$27,USDOTBCA_GuidanceFY2026!$B$167:$B$207,USDOTBCA_GuidanceFY2026!$E$167:$E$207)</f>
        <v>1140500</v>
      </c>
      <c r="AD57" s="384">
        <f>_xlfn.XLOOKUP(AD$27,USDOTBCA_GuidanceFY2026!$B$167:$B$207,USDOTBCA_GuidanceFY2026!$E$167:$E$207)</f>
        <v>1140500</v>
      </c>
      <c r="AE57" s="384">
        <f>_xlfn.XLOOKUP(AE$27,USDOTBCA_GuidanceFY2026!$B$167:$B$207,USDOTBCA_GuidanceFY2026!$E$167:$E$207)</f>
        <v>1140500</v>
      </c>
      <c r="AF57" s="384">
        <f>_xlfn.XLOOKUP(AF$27,USDOTBCA_GuidanceFY2026!$B$167:$B$207,USDOTBCA_GuidanceFY2026!$E$167:$E$207)</f>
        <v>1140500</v>
      </c>
      <c r="AG57" s="384">
        <f>_xlfn.XLOOKUP(AG$27,USDOTBCA_GuidanceFY2026!$B$167:$B$207,USDOTBCA_GuidanceFY2026!$E$167:$E$207)</f>
        <v>1140500</v>
      </c>
      <c r="AH57" s="384">
        <f>_xlfn.XLOOKUP(AH$27,USDOTBCA_GuidanceFY2026!$B$167:$B$207,USDOTBCA_GuidanceFY2026!$E$167:$E$207)</f>
        <v>1140500</v>
      </c>
      <c r="AI57" s="384">
        <f>_xlfn.XLOOKUP(AI$27,USDOTBCA_GuidanceFY2026!$B$167:$B$207,USDOTBCA_GuidanceFY2026!$E$167:$E$207)</f>
        <v>1140500</v>
      </c>
      <c r="AJ57" s="384">
        <f>_xlfn.XLOOKUP(AJ$27,USDOTBCA_GuidanceFY2026!$B$167:$B$207,USDOTBCA_GuidanceFY2026!$E$167:$E$207)</f>
        <v>1140500</v>
      </c>
      <c r="AK57" s="384">
        <f>_xlfn.XLOOKUP(AK$27,USDOTBCA_GuidanceFY2026!$B$167:$B$207,USDOTBCA_GuidanceFY2026!$E$167:$E$207)</f>
        <v>1140500</v>
      </c>
      <c r="AL57" s="384">
        <f>_xlfn.XLOOKUP(AL$27,USDOTBCA_GuidanceFY2026!$B$167:$B$207,USDOTBCA_GuidanceFY2026!$E$167:$E$207)</f>
        <v>1140500</v>
      </c>
      <c r="AM57" s="384">
        <f>_xlfn.XLOOKUP(AM$27,USDOTBCA_GuidanceFY2026!$B$167:$B$207,USDOTBCA_GuidanceFY2026!$E$167:$E$207)</f>
        <v>1140500</v>
      </c>
      <c r="AN57" s="384">
        <f>_xlfn.XLOOKUP(AN$27,USDOTBCA_GuidanceFY2026!$B$167:$B$207,USDOTBCA_GuidanceFY2026!$E$167:$E$207)</f>
        <v>1140500</v>
      </c>
      <c r="AO57" s="384">
        <f>_xlfn.XLOOKUP(AO$27,USDOTBCA_GuidanceFY2026!$B$167:$B$207,USDOTBCA_GuidanceFY2026!$E$167:$E$207)</f>
        <v>1140500</v>
      </c>
      <c r="AP57" s="384">
        <f>_xlfn.XLOOKUP(AP$27,USDOTBCA_GuidanceFY2026!$B$167:$B$207,USDOTBCA_GuidanceFY2026!$E$167:$E$207)</f>
        <v>1140500</v>
      </c>
      <c r="AQ57" s="384">
        <f>_xlfn.XLOOKUP(AQ$27,USDOTBCA_GuidanceFY2026!$B$167:$B$207,USDOTBCA_GuidanceFY2026!$E$167:$E$207)</f>
        <v>1140500</v>
      </c>
      <c r="AR57" s="384">
        <f>_xlfn.XLOOKUP(AR$27,USDOTBCA_GuidanceFY2026!$B$167:$B$207,USDOTBCA_GuidanceFY2026!$E$167:$E$207)</f>
        <v>1140500</v>
      </c>
      <c r="AS57" s="384">
        <f>_xlfn.XLOOKUP(AS$27,USDOTBCA_GuidanceFY2026!$B$167:$B$207,USDOTBCA_GuidanceFY2026!$E$167:$E$207)</f>
        <v>1140500</v>
      </c>
      <c r="AT57" s="384">
        <f>_xlfn.XLOOKUP(AT$27,USDOTBCA_GuidanceFY2026!$B$167:$B$207,USDOTBCA_GuidanceFY2026!$E$167:$E$207)</f>
        <v>1140500</v>
      </c>
    </row>
    <row r="58" spans="2:46" s="8" customFormat="1" x14ac:dyDescent="0.35">
      <c r="B58" s="8" t="s">
        <v>476</v>
      </c>
      <c r="F58" s="627">
        <f>SUM(G58:AT58)</f>
        <v>923793.09118454962</v>
      </c>
      <c r="G58" s="385">
        <f t="shared" ref="G58:AT58" si="9">G57*G56</f>
        <v>0</v>
      </c>
      <c r="H58" s="385">
        <f t="shared" si="9"/>
        <v>0</v>
      </c>
      <c r="I58" s="385">
        <f t="shared" si="9"/>
        <v>0</v>
      </c>
      <c r="J58" s="385">
        <f t="shared" si="9"/>
        <v>0</v>
      </c>
      <c r="K58" s="385">
        <f t="shared" si="9"/>
        <v>0</v>
      </c>
      <c r="L58" s="385">
        <f t="shared" si="9"/>
        <v>0</v>
      </c>
      <c r="M58" s="385">
        <f t="shared" si="9"/>
        <v>0</v>
      </c>
      <c r="N58" s="385">
        <f t="shared" si="9"/>
        <v>0</v>
      </c>
      <c r="O58" s="385">
        <f t="shared" si="9"/>
        <v>0</v>
      </c>
      <c r="P58" s="385">
        <f t="shared" si="9"/>
        <v>17350.582121940792</v>
      </c>
      <c r="Q58" s="385">
        <f t="shared" si="9"/>
        <v>31599.003472650111</v>
      </c>
      <c r="R58" s="385">
        <f t="shared" si="9"/>
        <v>42745.264052127946</v>
      </c>
      <c r="S58" s="385">
        <f t="shared" si="9"/>
        <v>50789.363860374309</v>
      </c>
      <c r="T58" s="385">
        <f t="shared" si="9"/>
        <v>55731.302897389192</v>
      </c>
      <c r="U58" s="385">
        <f t="shared" si="9"/>
        <v>74532.532919568097</v>
      </c>
      <c r="V58" s="385">
        <f t="shared" si="9"/>
        <v>64481.644684137515</v>
      </c>
      <c r="W58" s="385">
        <f t="shared" si="9"/>
        <v>53711.993049095552</v>
      </c>
      <c r="X58" s="385">
        <f t="shared" si="9"/>
        <v>52653.256796736401</v>
      </c>
      <c r="Y58" s="385">
        <f t="shared" si="9"/>
        <v>51471.942277533715</v>
      </c>
      <c r="Z58" s="385">
        <f t="shared" si="9"/>
        <v>50161.294441286205</v>
      </c>
      <c r="AA58" s="385">
        <f t="shared" si="9"/>
        <v>48714.251620453921</v>
      </c>
      <c r="AB58" s="385">
        <f t="shared" si="9"/>
        <v>47123.432829753925</v>
      </c>
      <c r="AC58" s="385">
        <f t="shared" si="9"/>
        <v>45381.124567096354</v>
      </c>
      <c r="AD58" s="385">
        <f t="shared" si="9"/>
        <v>43479.267096956981</v>
      </c>
      <c r="AE58" s="385">
        <f t="shared" si="9"/>
        <v>41409.440196585034</v>
      </c>
      <c r="AF58" s="385">
        <f t="shared" si="9"/>
        <v>39162.848344719554</v>
      </c>
      <c r="AG58" s="385">
        <f t="shared" si="9"/>
        <v>36730.305331737552</v>
      </c>
      <c r="AH58" s="385">
        <f t="shared" si="9"/>
        <v>37755.51159604235</v>
      </c>
      <c r="AI58" s="385">
        <f t="shared" si="9"/>
        <v>38808.729028364323</v>
      </c>
      <c r="AJ58" s="385">
        <f t="shared" si="9"/>
        <v>0</v>
      </c>
      <c r="AK58" s="385">
        <f t="shared" si="9"/>
        <v>0</v>
      </c>
      <c r="AL58" s="385">
        <f t="shared" si="9"/>
        <v>0</v>
      </c>
      <c r="AM58" s="385">
        <f t="shared" si="9"/>
        <v>0</v>
      </c>
      <c r="AN58" s="385">
        <f t="shared" si="9"/>
        <v>0</v>
      </c>
      <c r="AO58" s="385">
        <f t="shared" si="9"/>
        <v>0</v>
      </c>
      <c r="AP58" s="385">
        <f t="shared" si="9"/>
        <v>0</v>
      </c>
      <c r="AQ58" s="385">
        <f t="shared" si="9"/>
        <v>0</v>
      </c>
      <c r="AR58" s="385">
        <f t="shared" si="9"/>
        <v>0</v>
      </c>
      <c r="AS58" s="385">
        <f t="shared" si="9"/>
        <v>0</v>
      </c>
      <c r="AT58" s="385">
        <f t="shared" si="9"/>
        <v>0</v>
      </c>
    </row>
    <row r="59" spans="2:46" x14ac:dyDescent="0.35">
      <c r="F59" s="628"/>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c r="AJ59" s="384"/>
      <c r="AK59" s="384"/>
      <c r="AL59" s="384"/>
      <c r="AM59" s="384"/>
      <c r="AN59" s="384"/>
      <c r="AO59" s="384"/>
      <c r="AP59" s="384"/>
      <c r="AQ59" s="384"/>
      <c r="AR59" s="384"/>
      <c r="AS59" s="384"/>
      <c r="AT59" s="384"/>
    </row>
    <row r="60" spans="2:46" x14ac:dyDescent="0.35">
      <c r="B60" s="8" t="s">
        <v>477</v>
      </c>
      <c r="F60" s="627">
        <f>SUM(G60:AT60)</f>
        <v>3151012.9869959583</v>
      </c>
      <c r="G60" s="385">
        <f>G58+G53+G48</f>
        <v>0</v>
      </c>
      <c r="H60" s="385">
        <f t="shared" ref="H60:AT60" si="10">H58+H53+H48</f>
        <v>0</v>
      </c>
      <c r="I60" s="385">
        <f t="shared" si="10"/>
        <v>0</v>
      </c>
      <c r="J60" s="385">
        <f t="shared" si="10"/>
        <v>0</v>
      </c>
      <c r="K60" s="385">
        <f t="shared" si="10"/>
        <v>0</v>
      </c>
      <c r="L60" s="385">
        <f t="shared" si="10"/>
        <v>0</v>
      </c>
      <c r="M60" s="385">
        <f t="shared" si="10"/>
        <v>0</v>
      </c>
      <c r="N60" s="385">
        <f t="shared" si="10"/>
        <v>0</v>
      </c>
      <c r="O60" s="385">
        <f t="shared" si="10"/>
        <v>0</v>
      </c>
      <c r="P60" s="385">
        <f t="shared" si="10"/>
        <v>40686.856428182597</v>
      </c>
      <c r="Q60" s="385">
        <f t="shared" si="10"/>
        <v>75783.075753567624</v>
      </c>
      <c r="R60" s="385">
        <f t="shared" si="10"/>
        <v>105288.65797615505</v>
      </c>
      <c r="S60" s="385">
        <f t="shared" si="10"/>
        <v>129203.60309594493</v>
      </c>
      <c r="T60" s="385">
        <f t="shared" si="10"/>
        <v>147527.91111293726</v>
      </c>
      <c r="U60" s="385">
        <f t="shared" si="10"/>
        <v>207477.4591139715</v>
      </c>
      <c r="V60" s="385">
        <f t="shared" si="10"/>
        <v>191702.61814430627</v>
      </c>
      <c r="W60" s="385">
        <f t="shared" si="10"/>
        <v>174707.19885530978</v>
      </c>
      <c r="X60" s="385">
        <f t="shared" si="10"/>
        <v>174933.50472222248</v>
      </c>
      <c r="Y60" s="385">
        <f t="shared" si="10"/>
        <v>174995.74529286986</v>
      </c>
      <c r="Z60" s="385">
        <f t="shared" si="10"/>
        <v>174883.19987541853</v>
      </c>
      <c r="AA60" s="385">
        <f t="shared" si="10"/>
        <v>174584.63001524867</v>
      </c>
      <c r="AB60" s="385">
        <f t="shared" si="10"/>
        <v>174088.25734758179</v>
      </c>
      <c r="AC60" s="385">
        <f t="shared" si="10"/>
        <v>173381.74056323347</v>
      </c>
      <c r="AD60" s="385">
        <f t="shared" si="10"/>
        <v>172452.15145341854</v>
      </c>
      <c r="AE60" s="385">
        <f t="shared" si="10"/>
        <v>171285.94999827008</v>
      </c>
      <c r="AF60" s="385">
        <f t="shared" si="10"/>
        <v>169868.95846241014</v>
      </c>
      <c r="AG60" s="385">
        <f t="shared" si="10"/>
        <v>168186.33445954704</v>
      </c>
      <c r="AH60" s="385">
        <f t="shared" si="10"/>
        <v>172681.97098643892</v>
      </c>
      <c r="AI60" s="385">
        <f t="shared" si="10"/>
        <v>177293.16333892345</v>
      </c>
      <c r="AJ60" s="385">
        <f t="shared" si="10"/>
        <v>0</v>
      </c>
      <c r="AK60" s="385">
        <f t="shared" si="10"/>
        <v>0</v>
      </c>
      <c r="AL60" s="385">
        <f t="shared" si="10"/>
        <v>0</v>
      </c>
      <c r="AM60" s="385">
        <f t="shared" si="10"/>
        <v>0</v>
      </c>
      <c r="AN60" s="385">
        <f t="shared" si="10"/>
        <v>0</v>
      </c>
      <c r="AO60" s="385">
        <f t="shared" si="10"/>
        <v>0</v>
      </c>
      <c r="AP60" s="385">
        <f t="shared" si="10"/>
        <v>0</v>
      </c>
      <c r="AQ60" s="385">
        <f t="shared" si="10"/>
        <v>0</v>
      </c>
      <c r="AR60" s="385">
        <f t="shared" si="10"/>
        <v>0</v>
      </c>
      <c r="AS60" s="385">
        <f t="shared" si="10"/>
        <v>0</v>
      </c>
      <c r="AT60" s="385">
        <f t="shared" si="10"/>
        <v>0</v>
      </c>
    </row>
    <row r="61" spans="2:46" x14ac:dyDescent="0.35">
      <c r="F61" s="628"/>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c r="AJ61" s="384"/>
      <c r="AK61" s="384"/>
      <c r="AL61" s="384"/>
      <c r="AM61" s="384"/>
      <c r="AN61" s="384"/>
      <c r="AO61" s="384"/>
      <c r="AP61" s="384"/>
      <c r="AQ61" s="384"/>
      <c r="AR61" s="384"/>
      <c r="AS61" s="384"/>
      <c r="AT61" s="384"/>
    </row>
    <row r="62" spans="2:46" s="8" customFormat="1" x14ac:dyDescent="0.35">
      <c r="B62" s="8" t="s">
        <v>478</v>
      </c>
      <c r="F62" s="627">
        <f>SUM(G62:AT62)</f>
        <v>7484512.4025295265</v>
      </c>
      <c r="G62" s="385">
        <f t="shared" ref="G62:AT62" si="11">G34*$H$14</f>
        <v>0</v>
      </c>
      <c r="H62" s="385">
        <f t="shared" si="11"/>
        <v>0</v>
      </c>
      <c r="I62" s="385">
        <f t="shared" si="11"/>
        <v>0</v>
      </c>
      <c r="J62" s="385">
        <f t="shared" si="11"/>
        <v>0</v>
      </c>
      <c r="K62" s="385">
        <f t="shared" si="11"/>
        <v>0</v>
      </c>
      <c r="L62" s="385">
        <f t="shared" si="11"/>
        <v>0</v>
      </c>
      <c r="M62" s="385">
        <f t="shared" si="11"/>
        <v>0</v>
      </c>
      <c r="N62" s="385">
        <f t="shared" si="11"/>
        <v>0</v>
      </c>
      <c r="O62" s="385">
        <f t="shared" si="11"/>
        <v>0</v>
      </c>
      <c r="P62" s="385">
        <f t="shared" si="11"/>
        <v>46323.033619200032</v>
      </c>
      <c r="Q62" s="385">
        <f t="shared" si="11"/>
        <v>92646.067238400065</v>
      </c>
      <c r="R62" s="385">
        <f t="shared" si="11"/>
        <v>138969.1008576001</v>
      </c>
      <c r="S62" s="385">
        <f t="shared" si="11"/>
        <v>185292.13447680013</v>
      </c>
      <c r="T62" s="385">
        <f t="shared" si="11"/>
        <v>231615.16809600018</v>
      </c>
      <c r="U62" s="385">
        <f t="shared" si="11"/>
        <v>359823.67797176429</v>
      </c>
      <c r="V62" s="385">
        <f t="shared" si="11"/>
        <v>371326.24727785256</v>
      </c>
      <c r="W62" s="385">
        <f t="shared" si="11"/>
        <v>383196.52195949369</v>
      </c>
      <c r="X62" s="385">
        <f t="shared" si="11"/>
        <v>395446.256542099</v>
      </c>
      <c r="Y62" s="385">
        <f t="shared" si="11"/>
        <v>408087.5813107976</v>
      </c>
      <c r="Z62" s="385">
        <f t="shared" si="11"/>
        <v>421133.01432243432</v>
      </c>
      <c r="AA62" s="385">
        <f t="shared" si="11"/>
        <v>434595.47380156256</v>
      </c>
      <c r="AB62" s="385">
        <f t="shared" si="11"/>
        <v>448488.29093269934</v>
      </c>
      <c r="AC62" s="385">
        <f t="shared" si="11"/>
        <v>462825.22306151636</v>
      </c>
      <c r="AD62" s="385">
        <f t="shared" si="11"/>
        <v>477620.46731803415</v>
      </c>
      <c r="AE62" s="385">
        <f t="shared" si="11"/>
        <v>492888.67467531393</v>
      </c>
      <c r="AF62" s="385">
        <f t="shared" si="11"/>
        <v>508644.96445756598</v>
      </c>
      <c r="AG62" s="385">
        <f t="shared" si="11"/>
        <v>524904.9393120422</v>
      </c>
      <c r="AH62" s="385">
        <f t="shared" si="11"/>
        <v>541684.7006595392</v>
      </c>
      <c r="AI62" s="385">
        <f t="shared" si="11"/>
        <v>559000.86463881144</v>
      </c>
      <c r="AJ62" s="385">
        <f t="shared" si="11"/>
        <v>0</v>
      </c>
      <c r="AK62" s="385">
        <f t="shared" si="11"/>
        <v>0</v>
      </c>
      <c r="AL62" s="385">
        <f t="shared" si="11"/>
        <v>0</v>
      </c>
      <c r="AM62" s="385">
        <f t="shared" si="11"/>
        <v>0</v>
      </c>
      <c r="AN62" s="385">
        <f t="shared" si="11"/>
        <v>0</v>
      </c>
      <c r="AO62" s="385">
        <f t="shared" si="11"/>
        <v>0</v>
      </c>
      <c r="AP62" s="385">
        <f t="shared" si="11"/>
        <v>0</v>
      </c>
      <c r="AQ62" s="385">
        <f t="shared" si="11"/>
        <v>0</v>
      </c>
      <c r="AR62" s="385">
        <f t="shared" si="11"/>
        <v>0</v>
      </c>
      <c r="AS62" s="385">
        <f t="shared" si="11"/>
        <v>0</v>
      </c>
      <c r="AT62" s="385">
        <f t="shared" si="11"/>
        <v>0</v>
      </c>
    </row>
    <row r="63" spans="2:46" x14ac:dyDescent="0.35">
      <c r="F63" s="628"/>
      <c r="G63" s="384"/>
      <c r="H63" s="384"/>
      <c r="I63" s="384"/>
      <c r="J63" s="384"/>
      <c r="K63" s="384"/>
      <c r="L63" s="384"/>
      <c r="M63" s="384"/>
      <c r="N63" s="384"/>
      <c r="O63" s="384"/>
      <c r="P63" s="384"/>
      <c r="Q63" s="384"/>
      <c r="R63" s="384"/>
      <c r="S63" s="384"/>
      <c r="T63" s="384"/>
      <c r="U63" s="384"/>
      <c r="V63" s="384"/>
      <c r="W63" s="384"/>
      <c r="X63" s="384"/>
      <c r="Y63" s="384"/>
      <c r="Z63" s="384"/>
      <c r="AA63" s="384"/>
      <c r="AB63" s="384"/>
      <c r="AC63" s="384"/>
      <c r="AD63" s="384"/>
      <c r="AE63" s="384"/>
      <c r="AF63" s="384"/>
      <c r="AG63" s="384"/>
      <c r="AH63" s="384"/>
      <c r="AI63" s="384"/>
      <c r="AJ63" s="384"/>
      <c r="AK63" s="384"/>
      <c r="AL63" s="384"/>
      <c r="AM63" s="384"/>
      <c r="AN63" s="384"/>
      <c r="AO63" s="384"/>
      <c r="AP63" s="384"/>
      <c r="AQ63" s="384"/>
      <c r="AR63" s="384"/>
      <c r="AS63" s="384"/>
      <c r="AT63" s="384"/>
    </row>
    <row r="64" spans="2:46" s="8" customFormat="1" x14ac:dyDescent="0.35">
      <c r="B64" s="8" t="s">
        <v>479</v>
      </c>
      <c r="F64" s="627">
        <f>SUM(G64:AT64)</f>
        <v>2446253.7905109664</v>
      </c>
      <c r="G64" s="385">
        <f t="shared" ref="G64:AT64" si="12">G34*$H$15</f>
        <v>0</v>
      </c>
      <c r="H64" s="385">
        <f t="shared" si="12"/>
        <v>0</v>
      </c>
      <c r="I64" s="385">
        <f t="shared" si="12"/>
        <v>0</v>
      </c>
      <c r="J64" s="385">
        <f t="shared" si="12"/>
        <v>0</v>
      </c>
      <c r="K64" s="385">
        <f t="shared" si="12"/>
        <v>0</v>
      </c>
      <c r="L64" s="385">
        <f t="shared" si="12"/>
        <v>0</v>
      </c>
      <c r="M64" s="385">
        <f t="shared" si="12"/>
        <v>0</v>
      </c>
      <c r="N64" s="385">
        <f t="shared" si="12"/>
        <v>0</v>
      </c>
      <c r="O64" s="385">
        <f t="shared" si="12"/>
        <v>0</v>
      </c>
      <c r="P64" s="385">
        <f t="shared" si="12"/>
        <v>15140.31783027538</v>
      </c>
      <c r="Q64" s="385">
        <f t="shared" si="12"/>
        <v>30280.635660550761</v>
      </c>
      <c r="R64" s="385">
        <f t="shared" si="12"/>
        <v>45420.953490826141</v>
      </c>
      <c r="S64" s="385">
        <f t="shared" si="12"/>
        <v>60561.271321101522</v>
      </c>
      <c r="T64" s="385">
        <f t="shared" si="12"/>
        <v>75701.589151376902</v>
      </c>
      <c r="U64" s="385">
        <f t="shared" si="12"/>
        <v>117605.52843182402</v>
      </c>
      <c r="V64" s="385">
        <f t="shared" si="12"/>
        <v>121365.05239976129</v>
      </c>
      <c r="W64" s="385">
        <f t="shared" si="12"/>
        <v>125244.75796676085</v>
      </c>
      <c r="X64" s="385">
        <f t="shared" si="12"/>
        <v>129248.48700665448</v>
      </c>
      <c r="Y64" s="385">
        <f t="shared" si="12"/>
        <v>133380.20420737122</v>
      </c>
      <c r="Z64" s="385">
        <f t="shared" si="12"/>
        <v>137644.00099696408</v>
      </c>
      <c r="AA64" s="385">
        <f t="shared" si="12"/>
        <v>142044.0995951423</v>
      </c>
      <c r="AB64" s="385">
        <f t="shared" si="12"/>
        <v>146584.85719431911</v>
      </c>
      <c r="AC64" s="385">
        <f t="shared" si="12"/>
        <v>151270.77027431666</v>
      </c>
      <c r="AD64" s="385">
        <f t="shared" si="12"/>
        <v>156106.4790549996</v>
      </c>
      <c r="AE64" s="385">
        <f t="shared" si="12"/>
        <v>161096.77209124735</v>
      </c>
      <c r="AF64" s="385">
        <f t="shared" si="12"/>
        <v>166246.591014815</v>
      </c>
      <c r="AG64" s="385">
        <f t="shared" si="12"/>
        <v>171561.03542777803</v>
      </c>
      <c r="AH64" s="385">
        <f t="shared" si="12"/>
        <v>177045.36795240731</v>
      </c>
      <c r="AI64" s="385">
        <f t="shared" si="12"/>
        <v>182705.0194424747</v>
      </c>
      <c r="AJ64" s="385">
        <f t="shared" si="12"/>
        <v>0</v>
      </c>
      <c r="AK64" s="385">
        <f t="shared" si="12"/>
        <v>0</v>
      </c>
      <c r="AL64" s="385">
        <f t="shared" si="12"/>
        <v>0</v>
      </c>
      <c r="AM64" s="385">
        <f t="shared" si="12"/>
        <v>0</v>
      </c>
      <c r="AN64" s="385">
        <f t="shared" si="12"/>
        <v>0</v>
      </c>
      <c r="AO64" s="385">
        <f t="shared" si="12"/>
        <v>0</v>
      </c>
      <c r="AP64" s="385">
        <f t="shared" si="12"/>
        <v>0</v>
      </c>
      <c r="AQ64" s="385">
        <f t="shared" si="12"/>
        <v>0</v>
      </c>
      <c r="AR64" s="385">
        <f t="shared" si="12"/>
        <v>0</v>
      </c>
      <c r="AS64" s="385">
        <f t="shared" si="12"/>
        <v>0</v>
      </c>
      <c r="AT64" s="385">
        <f t="shared" si="12"/>
        <v>0</v>
      </c>
    </row>
    <row r="65" spans="1:46" x14ac:dyDescent="0.35">
      <c r="F65" s="386"/>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c r="AJ65" s="384"/>
      <c r="AK65" s="384"/>
      <c r="AL65" s="384"/>
      <c r="AM65" s="384"/>
      <c r="AN65" s="384"/>
      <c r="AO65" s="384"/>
      <c r="AP65" s="384"/>
      <c r="AQ65" s="384"/>
      <c r="AR65" s="384"/>
      <c r="AS65" s="384"/>
      <c r="AT65" s="384"/>
    </row>
    <row r="66" spans="1:46" x14ac:dyDescent="0.35">
      <c r="F66" s="386"/>
      <c r="G66" s="384"/>
      <c r="H66" s="384"/>
      <c r="I66" s="384"/>
      <c r="J66" s="384"/>
      <c r="K66" s="384"/>
      <c r="L66" s="384"/>
      <c r="M66" s="384"/>
      <c r="N66" s="384"/>
      <c r="O66" s="384"/>
      <c r="P66" s="384"/>
      <c r="Q66" s="384"/>
      <c r="R66" s="384"/>
      <c r="S66" s="384"/>
      <c r="T66" s="384"/>
      <c r="U66" s="384"/>
      <c r="V66" s="384"/>
      <c r="W66" s="384"/>
      <c r="X66" s="384"/>
      <c r="Y66" s="384"/>
      <c r="Z66" s="384"/>
      <c r="AA66" s="384"/>
      <c r="AB66" s="384"/>
      <c r="AC66" s="384"/>
      <c r="AD66" s="384"/>
      <c r="AE66" s="384"/>
      <c r="AF66" s="384"/>
      <c r="AG66" s="384"/>
      <c r="AH66" s="384"/>
      <c r="AI66" s="384"/>
      <c r="AJ66" s="384"/>
      <c r="AK66" s="384"/>
      <c r="AL66" s="384"/>
      <c r="AM66" s="384"/>
      <c r="AN66" s="384"/>
      <c r="AO66" s="384"/>
      <c r="AP66" s="384"/>
      <c r="AQ66" s="384"/>
      <c r="AR66" s="384"/>
      <c r="AS66" s="384"/>
      <c r="AT66" s="384"/>
    </row>
    <row r="67" spans="1:46" s="8" customFormat="1" x14ac:dyDescent="0.35">
      <c r="A67" s="371"/>
      <c r="B67" s="371" t="s">
        <v>129</v>
      </c>
      <c r="F67" s="626"/>
      <c r="G67" s="385"/>
      <c r="H67" s="385"/>
      <c r="I67" s="385"/>
      <c r="J67" s="385"/>
      <c r="K67" s="385"/>
      <c r="L67" s="385"/>
      <c r="M67" s="385"/>
      <c r="N67" s="385"/>
      <c r="O67" s="385"/>
      <c r="P67" s="385"/>
      <c r="Q67" s="385"/>
      <c r="R67" s="385"/>
      <c r="S67" s="385"/>
      <c r="T67" s="385"/>
      <c r="U67" s="385"/>
      <c r="V67" s="385"/>
      <c r="W67" s="385"/>
      <c r="X67" s="385"/>
      <c r="Y67" s="385"/>
      <c r="Z67" s="385"/>
      <c r="AA67" s="385"/>
      <c r="AB67" s="385"/>
      <c r="AC67" s="385"/>
      <c r="AD67" s="385"/>
      <c r="AE67" s="385"/>
      <c r="AF67" s="385"/>
      <c r="AG67" s="385"/>
      <c r="AH67" s="385"/>
      <c r="AI67" s="385"/>
      <c r="AJ67" s="385"/>
      <c r="AK67" s="385"/>
      <c r="AL67" s="385"/>
      <c r="AM67" s="385"/>
      <c r="AN67" s="385"/>
      <c r="AO67" s="385"/>
      <c r="AP67" s="385"/>
      <c r="AQ67" s="385"/>
      <c r="AR67" s="385"/>
      <c r="AS67" s="385"/>
      <c r="AT67" s="385"/>
    </row>
    <row r="68" spans="1:46" x14ac:dyDescent="0.35">
      <c r="B68" t="s">
        <v>480</v>
      </c>
      <c r="F68" s="386">
        <f>SUM(G68:AT68)</f>
        <v>-54134.792762592784</v>
      </c>
      <c r="G68" s="74">
        <f t="shared" ref="G68:AT68" si="13">G39/$H$7</f>
        <v>0</v>
      </c>
      <c r="H68" s="74">
        <f t="shared" si="13"/>
        <v>0</v>
      </c>
      <c r="I68" s="74">
        <f t="shared" si="13"/>
        <v>0</v>
      </c>
      <c r="J68" s="74">
        <f t="shared" si="13"/>
        <v>0</v>
      </c>
      <c r="K68" s="74">
        <f t="shared" si="13"/>
        <v>0</v>
      </c>
      <c r="L68" s="74">
        <f t="shared" si="13"/>
        <v>0</v>
      </c>
      <c r="M68" s="74">
        <f t="shared" si="13"/>
        <v>0</v>
      </c>
      <c r="N68" s="74">
        <f t="shared" si="13"/>
        <v>0</v>
      </c>
      <c r="O68" s="74">
        <f t="shared" si="13"/>
        <v>0</v>
      </c>
      <c r="P68" s="74">
        <f t="shared" si="13"/>
        <v>-335.05025982220218</v>
      </c>
      <c r="Q68" s="74">
        <f t="shared" si="13"/>
        <v>-670.10051964440436</v>
      </c>
      <c r="R68" s="74">
        <f t="shared" si="13"/>
        <v>-1005.1507794666063</v>
      </c>
      <c r="S68" s="74">
        <f t="shared" si="13"/>
        <v>-1340.2010392888087</v>
      </c>
      <c r="T68" s="74">
        <f t="shared" si="13"/>
        <v>-1675.2512991110107</v>
      </c>
      <c r="U68" s="74">
        <f t="shared" si="13"/>
        <v>-2602.5717094799793</v>
      </c>
      <c r="V68" s="74">
        <f t="shared" si="13"/>
        <v>-2685.7687398452445</v>
      </c>
      <c r="W68" s="74">
        <f t="shared" si="13"/>
        <v>-2771.6253495167725</v>
      </c>
      <c r="X68" s="74">
        <f t="shared" si="13"/>
        <v>-2860.2265579003674</v>
      </c>
      <c r="Y68" s="74">
        <f t="shared" si="13"/>
        <v>-2951.6601022374502</v>
      </c>
      <c r="Z68" s="74">
        <f t="shared" si="13"/>
        <v>-3046.0165244867558</v>
      </c>
      <c r="AA68" s="74">
        <f t="shared" si="13"/>
        <v>-3143.3892609834038</v>
      </c>
      <c r="AB68" s="74">
        <f t="shared" si="13"/>
        <v>-3243.8747349641139</v>
      </c>
      <c r="AC68" s="74">
        <f t="shared" si="13"/>
        <v>-3347.5724520502085</v>
      </c>
      <c r="AD68" s="74">
        <f t="shared" si="13"/>
        <v>-3454.5850987829253</v>
      </c>
      <c r="AE68" s="74">
        <f t="shared" si="13"/>
        <v>-3565.0186443086563</v>
      </c>
      <c r="AF68" s="74">
        <f t="shared" si="13"/>
        <v>-3678.9824453147558</v>
      </c>
      <c r="AG68" s="74">
        <f t="shared" si="13"/>
        <v>-3796.5893543198849</v>
      </c>
      <c r="AH68" s="74">
        <f t="shared" si="13"/>
        <v>-3917.955831426063</v>
      </c>
      <c r="AI68" s="74">
        <f t="shared" si="13"/>
        <v>-4043.2020596431726</v>
      </c>
      <c r="AJ68" s="74">
        <f t="shared" si="13"/>
        <v>0</v>
      </c>
      <c r="AK68" s="74">
        <f t="shared" si="13"/>
        <v>0</v>
      </c>
      <c r="AL68" s="74">
        <f t="shared" si="13"/>
        <v>0</v>
      </c>
      <c r="AM68" s="74">
        <f t="shared" si="13"/>
        <v>0</v>
      </c>
      <c r="AN68" s="74">
        <f t="shared" si="13"/>
        <v>0</v>
      </c>
      <c r="AO68" s="74">
        <f t="shared" si="13"/>
        <v>0</v>
      </c>
      <c r="AP68" s="74">
        <f t="shared" si="13"/>
        <v>0</v>
      </c>
      <c r="AQ68" s="74">
        <f t="shared" si="13"/>
        <v>0</v>
      </c>
      <c r="AR68" s="74">
        <f t="shared" si="13"/>
        <v>0</v>
      </c>
      <c r="AS68" s="74">
        <f t="shared" si="13"/>
        <v>0</v>
      </c>
      <c r="AT68" s="74">
        <f t="shared" si="13"/>
        <v>0</v>
      </c>
    </row>
    <row r="69" spans="1:46" x14ac:dyDescent="0.35">
      <c r="F69" s="628"/>
      <c r="G69" s="384"/>
      <c r="H69" s="384"/>
      <c r="I69" s="384"/>
      <c r="J69" s="384"/>
      <c r="K69" s="384"/>
      <c r="L69" s="384"/>
      <c r="M69" s="384"/>
      <c r="N69" s="384"/>
      <c r="O69" s="384"/>
      <c r="P69" s="384"/>
      <c r="Q69" s="384"/>
      <c r="R69" s="384"/>
      <c r="S69" s="384"/>
      <c r="T69" s="384"/>
      <c r="U69" s="384"/>
      <c r="V69" s="384"/>
      <c r="W69" s="384"/>
      <c r="X69" s="384"/>
      <c r="Y69" s="384"/>
      <c r="Z69" s="384"/>
      <c r="AA69" s="384"/>
      <c r="AB69" s="384"/>
      <c r="AC69" s="384"/>
      <c r="AD69" s="384"/>
      <c r="AE69" s="384"/>
      <c r="AF69" s="384"/>
      <c r="AG69" s="384"/>
      <c r="AH69" s="384"/>
      <c r="AI69" s="384"/>
      <c r="AJ69" s="384"/>
      <c r="AK69" s="384"/>
      <c r="AL69" s="384"/>
      <c r="AM69" s="384"/>
      <c r="AN69" s="384"/>
      <c r="AO69" s="384"/>
      <c r="AP69" s="384"/>
      <c r="AQ69" s="384"/>
      <c r="AR69" s="384"/>
      <c r="AS69" s="384"/>
      <c r="AT69" s="384"/>
    </row>
    <row r="70" spans="1:46" x14ac:dyDescent="0.35">
      <c r="B70" t="s">
        <v>466</v>
      </c>
      <c r="F70" s="629">
        <f>SUM(G70:AT70)</f>
        <v>-1.1260036894619301</v>
      </c>
      <c r="G70" s="346">
        <f>G68*$H$11/$H$17</f>
        <v>0</v>
      </c>
      <c r="H70" s="346">
        <f t="shared" ref="H70:AT70" si="14">H68*$H$11/$H$17</f>
        <v>0</v>
      </c>
      <c r="I70" s="346">
        <f t="shared" si="14"/>
        <v>0</v>
      </c>
      <c r="J70" s="346">
        <f t="shared" si="14"/>
        <v>0</v>
      </c>
      <c r="K70" s="346">
        <f t="shared" si="14"/>
        <v>0</v>
      </c>
      <c r="L70" s="346">
        <f t="shared" si="14"/>
        <v>0</v>
      </c>
      <c r="M70" s="346">
        <f t="shared" si="14"/>
        <v>0</v>
      </c>
      <c r="N70" s="346">
        <f t="shared" si="14"/>
        <v>0</v>
      </c>
      <c r="O70" s="346">
        <f t="shared" si="14"/>
        <v>0</v>
      </c>
      <c r="P70" s="346">
        <f t="shared" si="14"/>
        <v>-6.9690454043018057E-3</v>
      </c>
      <c r="Q70" s="346">
        <f t="shared" si="14"/>
        <v>-1.3938090808603611E-2</v>
      </c>
      <c r="R70" s="346">
        <f t="shared" si="14"/>
        <v>-2.0907136212905412E-2</v>
      </c>
      <c r="S70" s="346">
        <f t="shared" si="14"/>
        <v>-2.7876181617207223E-2</v>
      </c>
      <c r="T70" s="346">
        <f t="shared" si="14"/>
        <v>-3.4845227021509023E-2</v>
      </c>
      <c r="U70" s="346">
        <f t="shared" si="14"/>
        <v>-5.4133491557183576E-2</v>
      </c>
      <c r="V70" s="346">
        <f t="shared" si="14"/>
        <v>-5.5863989788781085E-2</v>
      </c>
      <c r="W70" s="346">
        <f t="shared" si="14"/>
        <v>-5.7649807269948866E-2</v>
      </c>
      <c r="X70" s="346">
        <f t="shared" si="14"/>
        <v>-5.9492712404327644E-2</v>
      </c>
      <c r="Y70" s="346">
        <f t="shared" si="14"/>
        <v>-6.1394530126538963E-2</v>
      </c>
      <c r="Z70" s="346">
        <f t="shared" si="14"/>
        <v>-6.335714370932452E-2</v>
      </c>
      <c r="AA70" s="346">
        <f t="shared" si="14"/>
        <v>-6.53824966284548E-2</v>
      </c>
      <c r="AB70" s="346">
        <f t="shared" si="14"/>
        <v>-6.7472594487253582E-2</v>
      </c>
      <c r="AC70" s="346">
        <f t="shared" si="14"/>
        <v>-6.9629507002644336E-2</v>
      </c>
      <c r="AD70" s="346">
        <f t="shared" si="14"/>
        <v>-7.1855370054684856E-2</v>
      </c>
      <c r="AE70" s="346">
        <f t="shared" si="14"/>
        <v>-7.4152387801620062E-2</v>
      </c>
      <c r="AF70" s="346">
        <f t="shared" si="14"/>
        <v>-7.6522834862546921E-2</v>
      </c>
      <c r="AG70" s="346">
        <f t="shared" si="14"/>
        <v>-7.8969058569853617E-2</v>
      </c>
      <c r="AH70" s="346">
        <f t="shared" si="14"/>
        <v>-8.1493481293662115E-2</v>
      </c>
      <c r="AI70" s="346">
        <f t="shared" si="14"/>
        <v>-8.4098602840577991E-2</v>
      </c>
      <c r="AJ70" s="346">
        <f t="shared" si="14"/>
        <v>0</v>
      </c>
      <c r="AK70" s="346">
        <f t="shared" si="14"/>
        <v>0</v>
      </c>
      <c r="AL70" s="346">
        <f t="shared" si="14"/>
        <v>0</v>
      </c>
      <c r="AM70" s="346">
        <f t="shared" si="14"/>
        <v>0</v>
      </c>
      <c r="AN70" s="346">
        <f t="shared" si="14"/>
        <v>0</v>
      </c>
      <c r="AO70" s="346">
        <f t="shared" si="14"/>
        <v>0</v>
      </c>
      <c r="AP70" s="346">
        <f t="shared" si="14"/>
        <v>0</v>
      </c>
      <c r="AQ70" s="346">
        <f t="shared" si="14"/>
        <v>0</v>
      </c>
      <c r="AR70" s="346">
        <f t="shared" si="14"/>
        <v>0</v>
      </c>
      <c r="AS70" s="346">
        <f t="shared" si="14"/>
        <v>0</v>
      </c>
      <c r="AT70" s="346">
        <f t="shared" si="14"/>
        <v>0</v>
      </c>
    </row>
    <row r="71" spans="1:46" x14ac:dyDescent="0.35">
      <c r="B71" t="s">
        <v>467</v>
      </c>
      <c r="F71" s="386"/>
      <c r="G71" s="384">
        <f>H71</f>
        <v>21600</v>
      </c>
      <c r="H71" s="384">
        <f>_xlfn.XLOOKUP(H$27,USDOTBCA_GuidanceFY2026!$B$167:$B$207,USDOTBCA_GuidanceFY2026!$C$167:$C$207)</f>
        <v>21600</v>
      </c>
      <c r="I71" s="384">
        <f>_xlfn.XLOOKUP(I$27,USDOTBCA_GuidanceFY2026!$B$167:$B$207,USDOTBCA_GuidanceFY2026!$C$167:$C$207)</f>
        <v>22000</v>
      </c>
      <c r="J71" s="384">
        <f>_xlfn.XLOOKUP(J$27,USDOTBCA_GuidanceFY2026!$B$167:$B$207,USDOTBCA_GuidanceFY2026!$C$167:$C$207)</f>
        <v>22500</v>
      </c>
      <c r="K71" s="384">
        <f>_xlfn.XLOOKUP(K$27,USDOTBCA_GuidanceFY2026!$B$167:$B$207,USDOTBCA_GuidanceFY2026!$C$167:$C$207)</f>
        <v>22900</v>
      </c>
      <c r="L71" s="384">
        <f>_xlfn.XLOOKUP(L$27,USDOTBCA_GuidanceFY2026!$B$167:$B$207,USDOTBCA_GuidanceFY2026!$C$167:$C$207)</f>
        <v>23300</v>
      </c>
      <c r="M71" s="384">
        <f>_xlfn.XLOOKUP(M$27,USDOTBCA_GuidanceFY2026!$B$167:$B$207,USDOTBCA_GuidanceFY2026!$C$167:$C$207)</f>
        <v>23800</v>
      </c>
      <c r="N71" s="384">
        <f>_xlfn.XLOOKUP(N$27,USDOTBCA_GuidanceFY2026!$B$167:$B$207,USDOTBCA_GuidanceFY2026!$C$167:$C$207)</f>
        <v>23800</v>
      </c>
      <c r="O71" s="384">
        <f>_xlfn.XLOOKUP(O$27,USDOTBCA_GuidanceFY2026!$B$167:$B$207,USDOTBCA_GuidanceFY2026!$C$167:$C$207)</f>
        <v>23800</v>
      </c>
      <c r="P71" s="384">
        <f>_xlfn.XLOOKUP(P$27,USDOTBCA_GuidanceFY2026!$B$167:$B$207,USDOTBCA_GuidanceFY2026!$C$167:$C$207)</f>
        <v>23800</v>
      </c>
      <c r="Q71" s="384">
        <f>_xlfn.XLOOKUP(Q$27,USDOTBCA_GuidanceFY2026!$B$167:$B$207,USDOTBCA_GuidanceFY2026!$C$167:$C$207)</f>
        <v>23800</v>
      </c>
      <c r="R71" s="384">
        <f>_xlfn.XLOOKUP(R$27,USDOTBCA_GuidanceFY2026!$B$167:$B$207,USDOTBCA_GuidanceFY2026!$C$167:$C$207)</f>
        <v>23800</v>
      </c>
      <c r="S71" s="384">
        <f>_xlfn.XLOOKUP(S$27,USDOTBCA_GuidanceFY2026!$B$167:$B$207,USDOTBCA_GuidanceFY2026!$C$167:$C$207)</f>
        <v>23800</v>
      </c>
      <c r="T71" s="384">
        <f>_xlfn.XLOOKUP(T$27,USDOTBCA_GuidanceFY2026!$B$167:$B$207,USDOTBCA_GuidanceFY2026!$C$167:$C$207)</f>
        <v>23800</v>
      </c>
      <c r="U71" s="384">
        <f>_xlfn.XLOOKUP(U$27,USDOTBCA_GuidanceFY2026!$B$167:$B$207,USDOTBCA_GuidanceFY2026!$C$167:$C$207)</f>
        <v>23800</v>
      </c>
      <c r="V71" s="384">
        <f>_xlfn.XLOOKUP(V$27,USDOTBCA_GuidanceFY2026!$B$167:$B$207,USDOTBCA_GuidanceFY2026!$C$167:$C$207)</f>
        <v>23800</v>
      </c>
      <c r="W71" s="384">
        <f>_xlfn.XLOOKUP(W$27,USDOTBCA_GuidanceFY2026!$B$167:$B$207,USDOTBCA_GuidanceFY2026!$C$167:$C$207)</f>
        <v>23800</v>
      </c>
      <c r="X71" s="384">
        <f>_xlfn.XLOOKUP(X$27,USDOTBCA_GuidanceFY2026!$B$167:$B$207,USDOTBCA_GuidanceFY2026!$C$167:$C$207)</f>
        <v>23800</v>
      </c>
      <c r="Y71" s="384">
        <f>_xlfn.XLOOKUP(Y$27,USDOTBCA_GuidanceFY2026!$B$167:$B$207,USDOTBCA_GuidanceFY2026!$C$167:$C$207)</f>
        <v>23800</v>
      </c>
      <c r="Z71" s="384">
        <f>_xlfn.XLOOKUP(Z$27,USDOTBCA_GuidanceFY2026!$B$167:$B$207,USDOTBCA_GuidanceFY2026!$C$167:$C$207)</f>
        <v>23800</v>
      </c>
      <c r="AA71" s="384">
        <f>_xlfn.XLOOKUP(AA$27,USDOTBCA_GuidanceFY2026!$B$167:$B$207,USDOTBCA_GuidanceFY2026!$C$167:$C$207)</f>
        <v>23800</v>
      </c>
      <c r="AB71" s="384">
        <f>_xlfn.XLOOKUP(AB$27,USDOTBCA_GuidanceFY2026!$B$167:$B$207,USDOTBCA_GuidanceFY2026!$C$167:$C$207)</f>
        <v>23800</v>
      </c>
      <c r="AC71" s="384">
        <f>_xlfn.XLOOKUP(AC$27,USDOTBCA_GuidanceFY2026!$B$167:$B$207,USDOTBCA_GuidanceFY2026!$C$167:$C$207)</f>
        <v>23800</v>
      </c>
      <c r="AD71" s="384">
        <f>_xlfn.XLOOKUP(AD$27,USDOTBCA_GuidanceFY2026!$B$167:$B$207,USDOTBCA_GuidanceFY2026!$C$167:$C$207)</f>
        <v>23800</v>
      </c>
      <c r="AE71" s="384">
        <f>_xlfn.XLOOKUP(AE$27,USDOTBCA_GuidanceFY2026!$B$167:$B$207,USDOTBCA_GuidanceFY2026!$C$167:$C$207)</f>
        <v>23800</v>
      </c>
      <c r="AF71" s="384">
        <f>_xlfn.XLOOKUP(AF$27,USDOTBCA_GuidanceFY2026!$B$167:$B$207,USDOTBCA_GuidanceFY2026!$C$167:$C$207)</f>
        <v>23800</v>
      </c>
      <c r="AG71" s="384">
        <f>_xlfn.XLOOKUP(AG$27,USDOTBCA_GuidanceFY2026!$B$167:$B$207,USDOTBCA_GuidanceFY2026!$C$167:$C$207)</f>
        <v>23800</v>
      </c>
      <c r="AH71" s="384">
        <f>_xlfn.XLOOKUP(AH$27,USDOTBCA_GuidanceFY2026!$B$167:$B$207,USDOTBCA_GuidanceFY2026!$C$167:$C$207)</f>
        <v>23800</v>
      </c>
      <c r="AI71" s="384">
        <f>_xlfn.XLOOKUP(AI$27,USDOTBCA_GuidanceFY2026!$B$167:$B$207,USDOTBCA_GuidanceFY2026!$C$167:$C$207)</f>
        <v>23800</v>
      </c>
      <c r="AJ71" s="384">
        <f>_xlfn.XLOOKUP(AJ$27,USDOTBCA_GuidanceFY2026!$B$167:$B$207,USDOTBCA_GuidanceFY2026!$C$167:$C$207)</f>
        <v>23800</v>
      </c>
      <c r="AK71" s="384">
        <f>_xlfn.XLOOKUP(AK$27,USDOTBCA_GuidanceFY2026!$B$167:$B$207,USDOTBCA_GuidanceFY2026!$C$167:$C$207)</f>
        <v>23800</v>
      </c>
      <c r="AL71" s="384">
        <f>_xlfn.XLOOKUP(AL$27,USDOTBCA_GuidanceFY2026!$B$167:$B$207,USDOTBCA_GuidanceFY2026!$C$167:$C$207)</f>
        <v>23800</v>
      </c>
      <c r="AM71" s="384">
        <f>_xlfn.XLOOKUP(AM$27,USDOTBCA_GuidanceFY2026!$B$167:$B$207,USDOTBCA_GuidanceFY2026!$C$167:$C$207)</f>
        <v>23800</v>
      </c>
      <c r="AN71" s="384">
        <f>_xlfn.XLOOKUP(AN$27,USDOTBCA_GuidanceFY2026!$B$167:$B$207,USDOTBCA_GuidanceFY2026!$C$167:$C$207)</f>
        <v>23800</v>
      </c>
      <c r="AO71" s="384">
        <f>_xlfn.XLOOKUP(AO$27,USDOTBCA_GuidanceFY2026!$B$167:$B$207,USDOTBCA_GuidanceFY2026!$C$167:$C$207)</f>
        <v>23800</v>
      </c>
      <c r="AP71" s="384">
        <f>_xlfn.XLOOKUP(AP$27,USDOTBCA_GuidanceFY2026!$B$167:$B$207,USDOTBCA_GuidanceFY2026!$C$167:$C$207)</f>
        <v>23800</v>
      </c>
      <c r="AQ71" s="384">
        <f>_xlfn.XLOOKUP(AQ$27,USDOTBCA_GuidanceFY2026!$B$167:$B$207,USDOTBCA_GuidanceFY2026!$C$167:$C$207)</f>
        <v>23800</v>
      </c>
      <c r="AR71" s="384">
        <f>_xlfn.XLOOKUP(AR$27,USDOTBCA_GuidanceFY2026!$B$167:$B$207,USDOTBCA_GuidanceFY2026!$C$167:$C$207)</f>
        <v>23800</v>
      </c>
      <c r="AS71" s="384">
        <f>_xlfn.XLOOKUP(AS$27,USDOTBCA_GuidanceFY2026!$B$167:$B$207,USDOTBCA_GuidanceFY2026!$C$167:$C$207)</f>
        <v>23800</v>
      </c>
      <c r="AT71" s="384">
        <f>_xlfn.XLOOKUP(AT$27,USDOTBCA_GuidanceFY2026!$B$167:$B$207,USDOTBCA_GuidanceFY2026!$C$167:$C$207)</f>
        <v>23800</v>
      </c>
    </row>
    <row r="72" spans="1:46" s="8" customFormat="1" x14ac:dyDescent="0.35">
      <c r="B72" s="8" t="s">
        <v>468</v>
      </c>
      <c r="F72" s="627">
        <f>SUM(G72:AT72)</f>
        <v>-26798.887809193933</v>
      </c>
      <c r="G72" s="385">
        <f t="shared" ref="G72:AT72" si="15">G71*G70</f>
        <v>0</v>
      </c>
      <c r="H72" s="385">
        <f t="shared" si="15"/>
        <v>0</v>
      </c>
      <c r="I72" s="385">
        <f t="shared" si="15"/>
        <v>0</v>
      </c>
      <c r="J72" s="385">
        <f t="shared" si="15"/>
        <v>0</v>
      </c>
      <c r="K72" s="385">
        <f t="shared" si="15"/>
        <v>0</v>
      </c>
      <c r="L72" s="385">
        <f t="shared" si="15"/>
        <v>0</v>
      </c>
      <c r="M72" s="385">
        <f t="shared" si="15"/>
        <v>0</v>
      </c>
      <c r="N72" s="385">
        <f t="shared" si="15"/>
        <v>0</v>
      </c>
      <c r="O72" s="385">
        <f t="shared" si="15"/>
        <v>0</v>
      </c>
      <c r="P72" s="385">
        <f t="shared" si="15"/>
        <v>-165.86328062238297</v>
      </c>
      <c r="Q72" s="385">
        <f t="shared" si="15"/>
        <v>-331.72656124476595</v>
      </c>
      <c r="R72" s="385">
        <f t="shared" si="15"/>
        <v>-497.58984186714878</v>
      </c>
      <c r="S72" s="385">
        <f t="shared" si="15"/>
        <v>-663.45312248953189</v>
      </c>
      <c r="T72" s="385">
        <f t="shared" si="15"/>
        <v>-829.31640311191472</v>
      </c>
      <c r="U72" s="385">
        <f t="shared" si="15"/>
        <v>-1288.3770990609692</v>
      </c>
      <c r="V72" s="385">
        <f t="shared" si="15"/>
        <v>-1329.5629569729899</v>
      </c>
      <c r="W72" s="385">
        <f t="shared" si="15"/>
        <v>-1372.0654130247831</v>
      </c>
      <c r="X72" s="385">
        <f t="shared" si="15"/>
        <v>-1415.9265552229979</v>
      </c>
      <c r="Y72" s="385">
        <f t="shared" si="15"/>
        <v>-1461.1898170116274</v>
      </c>
      <c r="Z72" s="385">
        <f t="shared" si="15"/>
        <v>-1507.9000202819236</v>
      </c>
      <c r="AA72" s="385">
        <f t="shared" si="15"/>
        <v>-1556.1034197572242</v>
      </c>
      <c r="AB72" s="385">
        <f t="shared" si="15"/>
        <v>-1605.8477487966352</v>
      </c>
      <c r="AC72" s="385">
        <f t="shared" si="15"/>
        <v>-1657.1822666629353</v>
      </c>
      <c r="AD72" s="385">
        <f t="shared" si="15"/>
        <v>-1710.1578073014996</v>
      </c>
      <c r="AE72" s="385">
        <f t="shared" si="15"/>
        <v>-1764.8268296785575</v>
      </c>
      <c r="AF72" s="385">
        <f t="shared" si="15"/>
        <v>-1821.2434697286167</v>
      </c>
      <c r="AG72" s="385">
        <f t="shared" si="15"/>
        <v>-1879.4635939625161</v>
      </c>
      <c r="AH72" s="385">
        <f t="shared" si="15"/>
        <v>-1939.5448547891583</v>
      </c>
      <c r="AI72" s="385">
        <f t="shared" si="15"/>
        <v>-2001.5467476057561</v>
      </c>
      <c r="AJ72" s="385">
        <f t="shared" si="15"/>
        <v>0</v>
      </c>
      <c r="AK72" s="385">
        <f t="shared" si="15"/>
        <v>0</v>
      </c>
      <c r="AL72" s="385">
        <f t="shared" si="15"/>
        <v>0</v>
      </c>
      <c r="AM72" s="385">
        <f t="shared" si="15"/>
        <v>0</v>
      </c>
      <c r="AN72" s="385">
        <f t="shared" si="15"/>
        <v>0</v>
      </c>
      <c r="AO72" s="385">
        <f t="shared" si="15"/>
        <v>0</v>
      </c>
      <c r="AP72" s="385">
        <f t="shared" si="15"/>
        <v>0</v>
      </c>
      <c r="AQ72" s="385">
        <f t="shared" si="15"/>
        <v>0</v>
      </c>
      <c r="AR72" s="385">
        <f t="shared" si="15"/>
        <v>0</v>
      </c>
      <c r="AS72" s="385">
        <f t="shared" si="15"/>
        <v>0</v>
      </c>
      <c r="AT72" s="385">
        <f t="shared" si="15"/>
        <v>0</v>
      </c>
    </row>
    <row r="73" spans="1:46" x14ac:dyDescent="0.35">
      <c r="F73" s="386"/>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c r="AJ73" s="384"/>
      <c r="AK73" s="384"/>
      <c r="AL73" s="384"/>
      <c r="AM73" s="384"/>
      <c r="AN73" s="384"/>
      <c r="AO73" s="384"/>
      <c r="AP73" s="384"/>
      <c r="AQ73" s="384"/>
      <c r="AR73" s="384"/>
      <c r="AS73" s="384"/>
      <c r="AT73" s="384"/>
    </row>
    <row r="74" spans="1:46" x14ac:dyDescent="0.35">
      <c r="B74" t="s">
        <v>470</v>
      </c>
      <c r="F74" s="630">
        <f>SUM(G74:AT74)</f>
        <v>-5.083257040407462E-3</v>
      </c>
      <c r="G74" s="145">
        <f>G68*$H$13/$H$17</f>
        <v>0</v>
      </c>
      <c r="H74" s="145">
        <f t="shared" ref="H74:AT74" si="16">H68*$H$13/$H$17</f>
        <v>0</v>
      </c>
      <c r="I74" s="145">
        <f t="shared" si="16"/>
        <v>0</v>
      </c>
      <c r="J74" s="145">
        <f t="shared" si="16"/>
        <v>0</v>
      </c>
      <c r="K74" s="145">
        <f t="shared" si="16"/>
        <v>0</v>
      </c>
      <c r="L74" s="145">
        <f t="shared" si="16"/>
        <v>0</v>
      </c>
      <c r="M74" s="145">
        <f t="shared" si="16"/>
        <v>0</v>
      </c>
      <c r="N74" s="145">
        <f t="shared" si="16"/>
        <v>0</v>
      </c>
      <c r="O74" s="145">
        <f t="shared" si="16"/>
        <v>0</v>
      </c>
      <c r="P74" s="145">
        <f t="shared" si="16"/>
        <v>-3.1461219397304783E-5</v>
      </c>
      <c r="Q74" s="145">
        <f t="shared" si="16"/>
        <v>-6.2922438794609566E-5</v>
      </c>
      <c r="R74" s="145">
        <f t="shared" si="16"/>
        <v>-9.4383658191914336E-5</v>
      </c>
      <c r="S74" s="145">
        <f t="shared" si="16"/>
        <v>-1.2584487758921913E-4</v>
      </c>
      <c r="T74" s="145">
        <f t="shared" si="16"/>
        <v>-1.5730609698652389E-4</v>
      </c>
      <c r="U74" s="145">
        <f t="shared" si="16"/>
        <v>-2.4438148352017003E-4</v>
      </c>
      <c r="V74" s="145">
        <f t="shared" si="16"/>
        <v>-2.5219368467146845E-4</v>
      </c>
      <c r="W74" s="145">
        <f t="shared" si="16"/>
        <v>-2.6025562031962491E-4</v>
      </c>
      <c r="X74" s="145">
        <f t="shared" si="16"/>
        <v>-2.685752737868445E-4</v>
      </c>
      <c r="Y74" s="145">
        <f t="shared" si="16"/>
        <v>-2.7716088360009656E-4</v>
      </c>
      <c r="Z74" s="145">
        <f t="shared" si="16"/>
        <v>-2.8602095164930634E-4</v>
      </c>
      <c r="AA74" s="145">
        <f t="shared" si="16"/>
        <v>-2.951642516063416E-4</v>
      </c>
      <c r="AB74" s="145">
        <f t="shared" si="16"/>
        <v>-3.0459983761313024E-4</v>
      </c>
      <c r="AC74" s="145">
        <f t="shared" si="16"/>
        <v>-3.1433705324751456E-4</v>
      </c>
      <c r="AD74" s="145">
        <f t="shared" si="16"/>
        <v>-3.2438554077571664E-4</v>
      </c>
      <c r="AE74" s="145">
        <f t="shared" si="16"/>
        <v>-3.3475525070058285E-4</v>
      </c>
      <c r="AF74" s="145">
        <f t="shared" si="16"/>
        <v>-3.4545645161505553E-4</v>
      </c>
      <c r="AG74" s="145">
        <f t="shared" si="16"/>
        <v>-3.5649974037063722E-4</v>
      </c>
      <c r="AH74" s="145">
        <f t="shared" si="16"/>
        <v>-3.6789605257090731E-4</v>
      </c>
      <c r="AI74" s="145">
        <f t="shared" si="16"/>
        <v>-3.7965667340049392E-4</v>
      </c>
      <c r="AJ74" s="145">
        <f t="shared" si="16"/>
        <v>0</v>
      </c>
      <c r="AK74" s="145">
        <f t="shared" si="16"/>
        <v>0</v>
      </c>
      <c r="AL74" s="145">
        <f t="shared" si="16"/>
        <v>0</v>
      </c>
      <c r="AM74" s="145">
        <f t="shared" si="16"/>
        <v>0</v>
      </c>
      <c r="AN74" s="145">
        <f t="shared" si="16"/>
        <v>0</v>
      </c>
      <c r="AO74" s="145">
        <f t="shared" si="16"/>
        <v>0</v>
      </c>
      <c r="AP74" s="145">
        <f t="shared" si="16"/>
        <v>0</v>
      </c>
      <c r="AQ74" s="145">
        <f t="shared" si="16"/>
        <v>0</v>
      </c>
      <c r="AR74" s="145">
        <f t="shared" si="16"/>
        <v>0</v>
      </c>
      <c r="AS74" s="145">
        <f t="shared" si="16"/>
        <v>0</v>
      </c>
      <c r="AT74" s="145">
        <f t="shared" si="16"/>
        <v>0</v>
      </c>
    </row>
    <row r="75" spans="1:46" x14ac:dyDescent="0.35">
      <c r="B75" t="s">
        <v>471</v>
      </c>
      <c r="F75" s="386"/>
      <c r="G75" s="384">
        <f>H75</f>
        <v>59000</v>
      </c>
      <c r="H75" s="384">
        <f>_xlfn.XLOOKUP(H$27,USDOTBCA_GuidanceFY2026!$B$167:$B$207,USDOTBCA_GuidanceFY2026!$D$167:$D$207)</f>
        <v>59000</v>
      </c>
      <c r="I75" s="384">
        <f>_xlfn.XLOOKUP(I$27,USDOTBCA_GuidanceFY2026!$B$167:$B$207,USDOTBCA_GuidanceFY2026!$D$167:$D$207)</f>
        <v>60100</v>
      </c>
      <c r="J75" s="384">
        <f>_xlfn.XLOOKUP(J$27,USDOTBCA_GuidanceFY2026!$B$167:$B$207,USDOTBCA_GuidanceFY2026!$D$167:$D$207)</f>
        <v>61100</v>
      </c>
      <c r="K75" s="384">
        <f>_xlfn.XLOOKUP(K$27,USDOTBCA_GuidanceFY2026!$B$167:$B$207,USDOTBCA_GuidanceFY2026!$D$167:$D$207)</f>
        <v>62200</v>
      </c>
      <c r="L75" s="384">
        <f>_xlfn.XLOOKUP(L$27,USDOTBCA_GuidanceFY2026!$B$167:$B$207,USDOTBCA_GuidanceFY2026!$D$167:$D$207)</f>
        <v>63400</v>
      </c>
      <c r="M75" s="384">
        <f>_xlfn.XLOOKUP(M$27,USDOTBCA_GuidanceFY2026!$B$167:$B$207,USDOTBCA_GuidanceFY2026!$D$167:$D$207)</f>
        <v>64500</v>
      </c>
      <c r="N75" s="384">
        <f>_xlfn.XLOOKUP(N$27,USDOTBCA_GuidanceFY2026!$B$167:$B$207,USDOTBCA_GuidanceFY2026!$D$167:$D$207)</f>
        <v>64500</v>
      </c>
      <c r="O75" s="384">
        <f>_xlfn.XLOOKUP(O$27,USDOTBCA_GuidanceFY2026!$B$167:$B$207,USDOTBCA_GuidanceFY2026!$D$167:$D$207)</f>
        <v>64500</v>
      </c>
      <c r="P75" s="384">
        <f>_xlfn.XLOOKUP(P$27,USDOTBCA_GuidanceFY2026!$B$167:$B$207,USDOTBCA_GuidanceFY2026!$D$167:$D$207)</f>
        <v>64500</v>
      </c>
      <c r="Q75" s="384">
        <f>_xlfn.XLOOKUP(Q$27,USDOTBCA_GuidanceFY2026!$B$167:$B$207,USDOTBCA_GuidanceFY2026!$D$167:$D$207)</f>
        <v>64500</v>
      </c>
      <c r="R75" s="384">
        <f>_xlfn.XLOOKUP(R$27,USDOTBCA_GuidanceFY2026!$B$167:$B$207,USDOTBCA_GuidanceFY2026!$D$167:$D$207)</f>
        <v>64500</v>
      </c>
      <c r="S75" s="384">
        <f>_xlfn.XLOOKUP(S$27,USDOTBCA_GuidanceFY2026!$B$167:$B$207,USDOTBCA_GuidanceFY2026!$D$167:$D$207)</f>
        <v>64500</v>
      </c>
      <c r="T75" s="384">
        <f>_xlfn.XLOOKUP(T$27,USDOTBCA_GuidanceFY2026!$B$167:$B$207,USDOTBCA_GuidanceFY2026!$D$167:$D$207)</f>
        <v>64500</v>
      </c>
      <c r="U75" s="384">
        <f>_xlfn.XLOOKUP(U$27,USDOTBCA_GuidanceFY2026!$B$167:$B$207,USDOTBCA_GuidanceFY2026!$D$167:$D$207)</f>
        <v>64500</v>
      </c>
      <c r="V75" s="384">
        <f>_xlfn.XLOOKUP(V$27,USDOTBCA_GuidanceFY2026!$B$167:$B$207,USDOTBCA_GuidanceFY2026!$D$167:$D$207)</f>
        <v>64500</v>
      </c>
      <c r="W75" s="384">
        <f>_xlfn.XLOOKUP(W$27,USDOTBCA_GuidanceFY2026!$B$167:$B$207,USDOTBCA_GuidanceFY2026!$D$167:$D$207)</f>
        <v>64500</v>
      </c>
      <c r="X75" s="384">
        <f>_xlfn.XLOOKUP(X$27,USDOTBCA_GuidanceFY2026!$B$167:$B$207,USDOTBCA_GuidanceFY2026!$D$167:$D$207)</f>
        <v>64500</v>
      </c>
      <c r="Y75" s="384">
        <f>_xlfn.XLOOKUP(Y$27,USDOTBCA_GuidanceFY2026!$B$167:$B$207,USDOTBCA_GuidanceFY2026!$D$167:$D$207)</f>
        <v>64500</v>
      </c>
      <c r="Z75" s="384">
        <f>_xlfn.XLOOKUP(Z$27,USDOTBCA_GuidanceFY2026!$B$167:$B$207,USDOTBCA_GuidanceFY2026!$D$167:$D$207)</f>
        <v>64500</v>
      </c>
      <c r="AA75" s="384">
        <f>_xlfn.XLOOKUP(AA$27,USDOTBCA_GuidanceFY2026!$B$167:$B$207,USDOTBCA_GuidanceFY2026!$D$167:$D$207)</f>
        <v>64500</v>
      </c>
      <c r="AB75" s="384">
        <f>_xlfn.XLOOKUP(AB$27,USDOTBCA_GuidanceFY2026!$B$167:$B$207,USDOTBCA_GuidanceFY2026!$D$167:$D$207)</f>
        <v>64500</v>
      </c>
      <c r="AC75" s="384">
        <f>_xlfn.XLOOKUP(AC$27,USDOTBCA_GuidanceFY2026!$B$167:$B$207,USDOTBCA_GuidanceFY2026!$D$167:$D$207)</f>
        <v>64500</v>
      </c>
      <c r="AD75" s="384">
        <f>_xlfn.XLOOKUP(AD$27,USDOTBCA_GuidanceFY2026!$B$167:$B$207,USDOTBCA_GuidanceFY2026!$D$167:$D$207)</f>
        <v>64500</v>
      </c>
      <c r="AE75" s="384">
        <f>_xlfn.XLOOKUP(AE$27,USDOTBCA_GuidanceFY2026!$B$167:$B$207,USDOTBCA_GuidanceFY2026!$D$167:$D$207)</f>
        <v>64500</v>
      </c>
      <c r="AF75" s="384">
        <f>_xlfn.XLOOKUP(AF$27,USDOTBCA_GuidanceFY2026!$B$167:$B$207,USDOTBCA_GuidanceFY2026!$D$167:$D$207)</f>
        <v>64500</v>
      </c>
      <c r="AG75" s="384">
        <f>_xlfn.XLOOKUP(AG$27,USDOTBCA_GuidanceFY2026!$B$167:$B$207,USDOTBCA_GuidanceFY2026!$D$167:$D$207)</f>
        <v>64500</v>
      </c>
      <c r="AH75" s="384">
        <f>_xlfn.XLOOKUP(AH$27,USDOTBCA_GuidanceFY2026!$B$167:$B$207,USDOTBCA_GuidanceFY2026!$D$167:$D$207)</f>
        <v>64500</v>
      </c>
      <c r="AI75" s="384">
        <f>_xlfn.XLOOKUP(AI$27,USDOTBCA_GuidanceFY2026!$B$167:$B$207,USDOTBCA_GuidanceFY2026!$D$167:$D$207)</f>
        <v>64500</v>
      </c>
      <c r="AJ75" s="384">
        <f>_xlfn.XLOOKUP(AJ$27,USDOTBCA_GuidanceFY2026!$B$167:$B$207,USDOTBCA_GuidanceFY2026!$D$167:$D$207)</f>
        <v>64500</v>
      </c>
      <c r="AK75" s="384">
        <f>_xlfn.XLOOKUP(AK$27,USDOTBCA_GuidanceFY2026!$B$167:$B$207,USDOTBCA_GuidanceFY2026!$D$167:$D$207)</f>
        <v>64500</v>
      </c>
      <c r="AL75" s="384">
        <f>_xlfn.XLOOKUP(AL$27,USDOTBCA_GuidanceFY2026!$B$167:$B$207,USDOTBCA_GuidanceFY2026!$D$167:$D$207)</f>
        <v>64500</v>
      </c>
      <c r="AM75" s="384">
        <f>_xlfn.XLOOKUP(AM$27,USDOTBCA_GuidanceFY2026!$B$167:$B$207,USDOTBCA_GuidanceFY2026!$D$167:$D$207)</f>
        <v>64500</v>
      </c>
      <c r="AN75" s="384">
        <f>_xlfn.XLOOKUP(AN$27,USDOTBCA_GuidanceFY2026!$B$167:$B$207,USDOTBCA_GuidanceFY2026!$D$167:$D$207)</f>
        <v>64500</v>
      </c>
      <c r="AO75" s="384">
        <f>_xlfn.XLOOKUP(AO$27,USDOTBCA_GuidanceFY2026!$B$167:$B$207,USDOTBCA_GuidanceFY2026!$D$167:$D$207)</f>
        <v>64500</v>
      </c>
      <c r="AP75" s="384">
        <f>_xlfn.XLOOKUP(AP$27,USDOTBCA_GuidanceFY2026!$B$167:$B$207,USDOTBCA_GuidanceFY2026!$D$167:$D$207)</f>
        <v>64500</v>
      </c>
      <c r="AQ75" s="384">
        <f>_xlfn.XLOOKUP(AQ$27,USDOTBCA_GuidanceFY2026!$B$167:$B$207,USDOTBCA_GuidanceFY2026!$D$167:$D$207)</f>
        <v>64500</v>
      </c>
      <c r="AR75" s="384">
        <f>_xlfn.XLOOKUP(AR$27,USDOTBCA_GuidanceFY2026!$B$167:$B$207,USDOTBCA_GuidanceFY2026!$D$167:$D$207)</f>
        <v>64500</v>
      </c>
      <c r="AS75" s="384">
        <f>_xlfn.XLOOKUP(AS$27,USDOTBCA_GuidanceFY2026!$B$167:$B$207,USDOTBCA_GuidanceFY2026!$D$167:$D$207)</f>
        <v>64500</v>
      </c>
      <c r="AT75" s="384">
        <f>_xlfn.XLOOKUP(AT$27,USDOTBCA_GuidanceFY2026!$B$167:$B$207,USDOTBCA_GuidanceFY2026!$D$167:$D$207)</f>
        <v>64500</v>
      </c>
    </row>
    <row r="76" spans="1:46" s="8" customFormat="1" x14ac:dyDescent="0.35">
      <c r="B76" s="8" t="s">
        <v>472</v>
      </c>
      <c r="F76" s="627">
        <f>SUM(G76:AT76)</f>
        <v>-327.87007910628125</v>
      </c>
      <c r="G76" s="385">
        <f t="shared" ref="G76:AT76" si="17">G75*G74</f>
        <v>0</v>
      </c>
      <c r="H76" s="385">
        <f t="shared" si="17"/>
        <v>0</v>
      </c>
      <c r="I76" s="385">
        <f t="shared" si="17"/>
        <v>0</v>
      </c>
      <c r="J76" s="385">
        <f t="shared" si="17"/>
        <v>0</v>
      </c>
      <c r="K76" s="385">
        <f t="shared" si="17"/>
        <v>0</v>
      </c>
      <c r="L76" s="385">
        <f t="shared" si="17"/>
        <v>0</v>
      </c>
      <c r="M76" s="385">
        <f t="shared" si="17"/>
        <v>0</v>
      </c>
      <c r="N76" s="385">
        <f t="shared" si="17"/>
        <v>0</v>
      </c>
      <c r="O76" s="385">
        <f t="shared" si="17"/>
        <v>0</v>
      </c>
      <c r="P76" s="385">
        <f t="shared" si="17"/>
        <v>-2.0292486511261587</v>
      </c>
      <c r="Q76" s="385">
        <f t="shared" si="17"/>
        <v>-4.0584973022523174</v>
      </c>
      <c r="R76" s="385">
        <f t="shared" si="17"/>
        <v>-6.0877459533784748</v>
      </c>
      <c r="S76" s="385">
        <f t="shared" si="17"/>
        <v>-8.1169946045046348</v>
      </c>
      <c r="T76" s="385">
        <f t="shared" si="17"/>
        <v>-10.146243255630791</v>
      </c>
      <c r="U76" s="385">
        <f t="shared" si="17"/>
        <v>-15.762605687050968</v>
      </c>
      <c r="V76" s="385">
        <f t="shared" si="17"/>
        <v>-16.266492661309716</v>
      </c>
      <c r="W76" s="385">
        <f t="shared" si="17"/>
        <v>-16.786487510615807</v>
      </c>
      <c r="X76" s="385">
        <f t="shared" si="17"/>
        <v>-17.323105159251469</v>
      </c>
      <c r="Y76" s="385">
        <f t="shared" si="17"/>
        <v>-17.876876992206228</v>
      </c>
      <c r="Z76" s="385">
        <f t="shared" si="17"/>
        <v>-18.44835138138026</v>
      </c>
      <c r="AA76" s="385">
        <f t="shared" si="17"/>
        <v>-19.038094228609033</v>
      </c>
      <c r="AB76" s="385">
        <f t="shared" si="17"/>
        <v>-19.646689526046899</v>
      </c>
      <c r="AC76" s="385">
        <f t="shared" si="17"/>
        <v>-20.274739934464691</v>
      </c>
      <c r="AD76" s="385">
        <f t="shared" si="17"/>
        <v>-20.922867380033722</v>
      </c>
      <c r="AE76" s="385">
        <f t="shared" si="17"/>
        <v>-21.591713670187595</v>
      </c>
      <c r="AF76" s="385">
        <f t="shared" si="17"/>
        <v>-22.281941129171081</v>
      </c>
      <c r="AG76" s="385">
        <f t="shared" si="17"/>
        <v>-22.994233253906099</v>
      </c>
      <c r="AH76" s="385">
        <f t="shared" si="17"/>
        <v>-23.72929539082352</v>
      </c>
      <c r="AI76" s="385">
        <f t="shared" si="17"/>
        <v>-24.487855434331859</v>
      </c>
      <c r="AJ76" s="385">
        <f t="shared" si="17"/>
        <v>0</v>
      </c>
      <c r="AK76" s="385">
        <f t="shared" si="17"/>
        <v>0</v>
      </c>
      <c r="AL76" s="385">
        <f t="shared" si="17"/>
        <v>0</v>
      </c>
      <c r="AM76" s="385">
        <f t="shared" si="17"/>
        <v>0</v>
      </c>
      <c r="AN76" s="385">
        <f t="shared" si="17"/>
        <v>0</v>
      </c>
      <c r="AO76" s="385">
        <f t="shared" si="17"/>
        <v>0</v>
      </c>
      <c r="AP76" s="385">
        <f t="shared" si="17"/>
        <v>0</v>
      </c>
      <c r="AQ76" s="385">
        <f t="shared" si="17"/>
        <v>0</v>
      </c>
      <c r="AR76" s="385">
        <f t="shared" si="17"/>
        <v>0</v>
      </c>
      <c r="AS76" s="385">
        <f t="shared" si="17"/>
        <v>0</v>
      </c>
      <c r="AT76" s="385">
        <f t="shared" si="17"/>
        <v>0</v>
      </c>
    </row>
    <row r="77" spans="1:46" x14ac:dyDescent="0.35">
      <c r="F77" s="386"/>
      <c r="G77" s="384"/>
      <c r="H77" s="384"/>
      <c r="I77" s="384"/>
      <c r="J77" s="384"/>
      <c r="K77" s="384"/>
      <c r="L77" s="384"/>
      <c r="M77" s="384"/>
      <c r="N77" s="384"/>
      <c r="O77" s="384"/>
      <c r="P77" s="384"/>
      <c r="Q77" s="384"/>
      <c r="R77" s="384"/>
      <c r="S77" s="384"/>
      <c r="T77" s="384"/>
      <c r="U77" s="384"/>
      <c r="V77" s="384"/>
      <c r="W77" s="384"/>
      <c r="X77" s="384"/>
      <c r="Y77" s="384"/>
      <c r="Z77" s="384"/>
      <c r="AA77" s="384"/>
      <c r="AB77" s="384"/>
      <c r="AC77" s="384"/>
      <c r="AD77" s="384"/>
      <c r="AE77" s="384"/>
      <c r="AF77" s="384"/>
      <c r="AG77" s="384"/>
      <c r="AH77" s="384"/>
      <c r="AI77" s="384"/>
      <c r="AJ77" s="384"/>
      <c r="AK77" s="384"/>
      <c r="AL77" s="384"/>
      <c r="AM77" s="384"/>
      <c r="AN77" s="384"/>
      <c r="AO77" s="384"/>
      <c r="AP77" s="384"/>
      <c r="AQ77" s="384"/>
      <c r="AR77" s="384"/>
      <c r="AS77" s="384"/>
      <c r="AT77" s="384"/>
    </row>
    <row r="78" spans="1:46" x14ac:dyDescent="0.35">
      <c r="B78" t="s">
        <v>474</v>
      </c>
      <c r="F78" s="630">
        <f>SUM(G78:AT78)</f>
        <v>-1.6383353681671084E-2</v>
      </c>
      <c r="G78" s="145">
        <f>G68*$H$12/$H$17</f>
        <v>0</v>
      </c>
      <c r="H78" s="145">
        <f t="shared" ref="H78:AT78" si="18">H68*$H$12/$H$17</f>
        <v>0</v>
      </c>
      <c r="I78" s="145">
        <f t="shared" si="18"/>
        <v>0</v>
      </c>
      <c r="J78" s="145">
        <f t="shared" si="18"/>
        <v>0</v>
      </c>
      <c r="K78" s="145">
        <f t="shared" si="18"/>
        <v>0</v>
      </c>
      <c r="L78" s="145">
        <f t="shared" si="18"/>
        <v>0</v>
      </c>
      <c r="M78" s="145">
        <f t="shared" si="18"/>
        <v>0</v>
      </c>
      <c r="N78" s="145">
        <f t="shared" si="18"/>
        <v>0</v>
      </c>
      <c r="O78" s="145">
        <f t="shared" si="18"/>
        <v>0</v>
      </c>
      <c r="P78" s="145">
        <f t="shared" si="18"/>
        <v>-1.0139961063259128E-4</v>
      </c>
      <c r="Q78" s="145">
        <f t="shared" si="18"/>
        <v>-2.0279922126518256E-4</v>
      </c>
      <c r="R78" s="145">
        <f t="shared" si="18"/>
        <v>-3.0419883189777375E-4</v>
      </c>
      <c r="S78" s="145">
        <f t="shared" si="18"/>
        <v>-4.0559844253036512E-4</v>
      </c>
      <c r="T78" s="145">
        <f t="shared" si="18"/>
        <v>-5.0699805316295628E-4</v>
      </c>
      <c r="U78" s="145">
        <f t="shared" si="18"/>
        <v>-7.8764230215702094E-4</v>
      </c>
      <c r="V78" s="145">
        <f t="shared" si="18"/>
        <v>-8.1282105142676479E-4</v>
      </c>
      <c r="W78" s="145">
        <f t="shared" si="18"/>
        <v>-8.3880469577775612E-4</v>
      </c>
      <c r="X78" s="145">
        <f t="shared" si="18"/>
        <v>-8.656189654829673E-4</v>
      </c>
      <c r="Y78" s="145">
        <f t="shared" si="18"/>
        <v>-8.9329041334114195E-4</v>
      </c>
      <c r="Z78" s="145">
        <f t="shared" si="18"/>
        <v>-9.218464409706718E-4</v>
      </c>
      <c r="AA78" s="145">
        <f t="shared" si="18"/>
        <v>-9.5131532594401743E-4</v>
      </c>
      <c r="AB78" s="145">
        <f t="shared" si="18"/>
        <v>-9.8172624978953935E-4</v>
      </c>
      <c r="AC78" s="145">
        <f t="shared" si="18"/>
        <v>-1.0131093268884752E-3</v>
      </c>
      <c r="AD78" s="145">
        <f t="shared" si="18"/>
        <v>-1.0454956342956646E-3</v>
      </c>
      <c r="AE78" s="145">
        <f t="shared" si="18"/>
        <v>-1.0789172425135719E-3</v>
      </c>
      <c r="AF78" s="145">
        <f t="shared" si="18"/>
        <v>-1.1134072472500577E-3</v>
      </c>
      <c r="AG78" s="145">
        <f t="shared" si="18"/>
        <v>-1.1489998021913699E-3</v>
      </c>
      <c r="AH78" s="145">
        <f t="shared" si="18"/>
        <v>-1.1857301528227838E-3</v>
      </c>
      <c r="AI78" s="145">
        <f t="shared" si="18"/>
        <v>-1.2236346713304098E-3</v>
      </c>
      <c r="AJ78" s="145">
        <f t="shared" si="18"/>
        <v>0</v>
      </c>
      <c r="AK78" s="145">
        <f t="shared" si="18"/>
        <v>0</v>
      </c>
      <c r="AL78" s="145">
        <f t="shared" si="18"/>
        <v>0</v>
      </c>
      <c r="AM78" s="145">
        <f t="shared" si="18"/>
        <v>0</v>
      </c>
      <c r="AN78" s="145">
        <f t="shared" si="18"/>
        <v>0</v>
      </c>
      <c r="AO78" s="145">
        <f t="shared" si="18"/>
        <v>0</v>
      </c>
      <c r="AP78" s="145">
        <f t="shared" si="18"/>
        <v>0</v>
      </c>
      <c r="AQ78" s="145">
        <f t="shared" si="18"/>
        <v>0</v>
      </c>
      <c r="AR78" s="145">
        <f t="shared" si="18"/>
        <v>0</v>
      </c>
      <c r="AS78" s="145">
        <f t="shared" si="18"/>
        <v>0</v>
      </c>
      <c r="AT78" s="145">
        <f t="shared" si="18"/>
        <v>0</v>
      </c>
    </row>
    <row r="79" spans="1:46" x14ac:dyDescent="0.35">
      <c r="B79" t="s">
        <v>475</v>
      </c>
      <c r="F79" s="386"/>
      <c r="G79" s="384">
        <f>H79</f>
        <v>1054000</v>
      </c>
      <c r="H79" s="384">
        <f>_xlfn.XLOOKUP(H$27,USDOTBCA_GuidanceFY2026!$B$167:$B$207,USDOTBCA_GuidanceFY2026!$E$167:$E$207)</f>
        <v>1054000</v>
      </c>
      <c r="I79" s="384">
        <f>_xlfn.XLOOKUP(I$27,USDOTBCA_GuidanceFY2026!$B$167:$B$207,USDOTBCA_GuidanceFY2026!$E$167:$E$207)</f>
        <v>1070700</v>
      </c>
      <c r="J79" s="384">
        <f>_xlfn.XLOOKUP(J$27,USDOTBCA_GuidanceFY2026!$B$167:$B$207,USDOTBCA_GuidanceFY2026!$E$167:$E$207)</f>
        <v>1087800</v>
      </c>
      <c r="K79" s="384">
        <f>_xlfn.XLOOKUP(K$27,USDOTBCA_GuidanceFY2026!$B$167:$B$207,USDOTBCA_GuidanceFY2026!$E$167:$E$207)</f>
        <v>1105100</v>
      </c>
      <c r="L79" s="384">
        <f>_xlfn.XLOOKUP(L$27,USDOTBCA_GuidanceFY2026!$B$167:$B$207,USDOTBCA_GuidanceFY2026!$E$167:$E$207)</f>
        <v>1122600</v>
      </c>
      <c r="M79" s="384">
        <f>_xlfn.XLOOKUP(M$27,USDOTBCA_GuidanceFY2026!$B$167:$B$207,USDOTBCA_GuidanceFY2026!$E$167:$E$207)</f>
        <v>1140500</v>
      </c>
      <c r="N79" s="384">
        <f>_xlfn.XLOOKUP(N$27,USDOTBCA_GuidanceFY2026!$B$167:$B$207,USDOTBCA_GuidanceFY2026!$E$167:$E$207)</f>
        <v>1140500</v>
      </c>
      <c r="O79" s="384">
        <f>_xlfn.XLOOKUP(O$27,USDOTBCA_GuidanceFY2026!$B$167:$B$207,USDOTBCA_GuidanceFY2026!$E$167:$E$207)</f>
        <v>1140500</v>
      </c>
      <c r="P79" s="384">
        <f>_xlfn.XLOOKUP(P$27,USDOTBCA_GuidanceFY2026!$B$167:$B$207,USDOTBCA_GuidanceFY2026!$E$167:$E$207)</f>
        <v>1140500</v>
      </c>
      <c r="Q79" s="384">
        <f>_xlfn.XLOOKUP(Q$27,USDOTBCA_GuidanceFY2026!$B$167:$B$207,USDOTBCA_GuidanceFY2026!$E$167:$E$207)</f>
        <v>1140500</v>
      </c>
      <c r="R79" s="384">
        <f>_xlfn.XLOOKUP(R$27,USDOTBCA_GuidanceFY2026!$B$167:$B$207,USDOTBCA_GuidanceFY2026!$E$167:$E$207)</f>
        <v>1140500</v>
      </c>
      <c r="S79" s="384">
        <f>_xlfn.XLOOKUP(S$27,USDOTBCA_GuidanceFY2026!$B$167:$B$207,USDOTBCA_GuidanceFY2026!$E$167:$E$207)</f>
        <v>1140500</v>
      </c>
      <c r="T79" s="384">
        <f>_xlfn.XLOOKUP(T$27,USDOTBCA_GuidanceFY2026!$B$167:$B$207,USDOTBCA_GuidanceFY2026!$E$167:$E$207)</f>
        <v>1140500</v>
      </c>
      <c r="U79" s="384">
        <f>_xlfn.XLOOKUP(U$27,USDOTBCA_GuidanceFY2026!$B$167:$B$207,USDOTBCA_GuidanceFY2026!$E$167:$E$207)</f>
        <v>1140500</v>
      </c>
      <c r="V79" s="384">
        <f>_xlfn.XLOOKUP(V$27,USDOTBCA_GuidanceFY2026!$B$167:$B$207,USDOTBCA_GuidanceFY2026!$E$167:$E$207)</f>
        <v>1140500</v>
      </c>
      <c r="W79" s="384">
        <f>_xlfn.XLOOKUP(W$27,USDOTBCA_GuidanceFY2026!$B$167:$B$207,USDOTBCA_GuidanceFY2026!$E$167:$E$207)</f>
        <v>1140500</v>
      </c>
      <c r="X79" s="384">
        <f>_xlfn.XLOOKUP(X$27,USDOTBCA_GuidanceFY2026!$B$167:$B$207,USDOTBCA_GuidanceFY2026!$E$167:$E$207)</f>
        <v>1140500</v>
      </c>
      <c r="Y79" s="384">
        <f>_xlfn.XLOOKUP(Y$27,USDOTBCA_GuidanceFY2026!$B$167:$B$207,USDOTBCA_GuidanceFY2026!$E$167:$E$207)</f>
        <v>1140500</v>
      </c>
      <c r="Z79" s="384">
        <f>_xlfn.XLOOKUP(Z$27,USDOTBCA_GuidanceFY2026!$B$167:$B$207,USDOTBCA_GuidanceFY2026!$E$167:$E$207)</f>
        <v>1140500</v>
      </c>
      <c r="AA79" s="384">
        <f>_xlfn.XLOOKUP(AA$27,USDOTBCA_GuidanceFY2026!$B$167:$B$207,USDOTBCA_GuidanceFY2026!$E$167:$E$207)</f>
        <v>1140500</v>
      </c>
      <c r="AB79" s="384">
        <f>_xlfn.XLOOKUP(AB$27,USDOTBCA_GuidanceFY2026!$B$167:$B$207,USDOTBCA_GuidanceFY2026!$E$167:$E$207)</f>
        <v>1140500</v>
      </c>
      <c r="AC79" s="384">
        <f>_xlfn.XLOOKUP(AC$27,USDOTBCA_GuidanceFY2026!$B$167:$B$207,USDOTBCA_GuidanceFY2026!$E$167:$E$207)</f>
        <v>1140500</v>
      </c>
      <c r="AD79" s="384">
        <f>_xlfn.XLOOKUP(AD$27,USDOTBCA_GuidanceFY2026!$B$167:$B$207,USDOTBCA_GuidanceFY2026!$E$167:$E$207)</f>
        <v>1140500</v>
      </c>
      <c r="AE79" s="384">
        <f>_xlfn.XLOOKUP(AE$27,USDOTBCA_GuidanceFY2026!$B$167:$B$207,USDOTBCA_GuidanceFY2026!$E$167:$E$207)</f>
        <v>1140500</v>
      </c>
      <c r="AF79" s="384">
        <f>_xlfn.XLOOKUP(AF$27,USDOTBCA_GuidanceFY2026!$B$167:$B$207,USDOTBCA_GuidanceFY2026!$E$167:$E$207)</f>
        <v>1140500</v>
      </c>
      <c r="AG79" s="384">
        <f>_xlfn.XLOOKUP(AG$27,USDOTBCA_GuidanceFY2026!$B$167:$B$207,USDOTBCA_GuidanceFY2026!$E$167:$E$207)</f>
        <v>1140500</v>
      </c>
      <c r="AH79" s="384">
        <f>_xlfn.XLOOKUP(AH$27,USDOTBCA_GuidanceFY2026!$B$167:$B$207,USDOTBCA_GuidanceFY2026!$E$167:$E$207)</f>
        <v>1140500</v>
      </c>
      <c r="AI79" s="384">
        <f>_xlfn.XLOOKUP(AI$27,USDOTBCA_GuidanceFY2026!$B$167:$B$207,USDOTBCA_GuidanceFY2026!$E$167:$E$207)</f>
        <v>1140500</v>
      </c>
      <c r="AJ79" s="384">
        <f>_xlfn.XLOOKUP(AJ$27,USDOTBCA_GuidanceFY2026!$B$167:$B$207,USDOTBCA_GuidanceFY2026!$E$167:$E$207)</f>
        <v>1140500</v>
      </c>
      <c r="AK79" s="384">
        <f>_xlfn.XLOOKUP(AK$27,USDOTBCA_GuidanceFY2026!$B$167:$B$207,USDOTBCA_GuidanceFY2026!$E$167:$E$207)</f>
        <v>1140500</v>
      </c>
      <c r="AL79" s="384">
        <f>_xlfn.XLOOKUP(AL$27,USDOTBCA_GuidanceFY2026!$B$167:$B$207,USDOTBCA_GuidanceFY2026!$E$167:$E$207)</f>
        <v>1140500</v>
      </c>
      <c r="AM79" s="384">
        <f>_xlfn.XLOOKUP(AM$27,USDOTBCA_GuidanceFY2026!$B$167:$B$207,USDOTBCA_GuidanceFY2026!$E$167:$E$207)</f>
        <v>1140500</v>
      </c>
      <c r="AN79" s="384">
        <f>_xlfn.XLOOKUP(AN$27,USDOTBCA_GuidanceFY2026!$B$167:$B$207,USDOTBCA_GuidanceFY2026!$E$167:$E$207)</f>
        <v>1140500</v>
      </c>
      <c r="AO79" s="384">
        <f>_xlfn.XLOOKUP(AO$27,USDOTBCA_GuidanceFY2026!$B$167:$B$207,USDOTBCA_GuidanceFY2026!$E$167:$E$207)</f>
        <v>1140500</v>
      </c>
      <c r="AP79" s="384">
        <f>_xlfn.XLOOKUP(AP$27,USDOTBCA_GuidanceFY2026!$B$167:$B$207,USDOTBCA_GuidanceFY2026!$E$167:$E$207)</f>
        <v>1140500</v>
      </c>
      <c r="AQ79" s="384">
        <f>_xlfn.XLOOKUP(AQ$27,USDOTBCA_GuidanceFY2026!$B$167:$B$207,USDOTBCA_GuidanceFY2026!$E$167:$E$207)</f>
        <v>1140500</v>
      </c>
      <c r="AR79" s="384">
        <f>_xlfn.XLOOKUP(AR$27,USDOTBCA_GuidanceFY2026!$B$167:$B$207,USDOTBCA_GuidanceFY2026!$E$167:$E$207)</f>
        <v>1140500</v>
      </c>
      <c r="AS79" s="384">
        <f>_xlfn.XLOOKUP(AS$27,USDOTBCA_GuidanceFY2026!$B$167:$B$207,USDOTBCA_GuidanceFY2026!$E$167:$E$207)</f>
        <v>1140500</v>
      </c>
      <c r="AT79" s="384">
        <f>_xlfn.XLOOKUP(AT$27,USDOTBCA_GuidanceFY2026!$B$167:$B$207,USDOTBCA_GuidanceFY2026!$E$167:$E$207)</f>
        <v>1140500</v>
      </c>
    </row>
    <row r="80" spans="1:46" s="8" customFormat="1" x14ac:dyDescent="0.35">
      <c r="B80" s="8" t="s">
        <v>476</v>
      </c>
      <c r="F80" s="627">
        <f>SUM(G80:AT80)</f>
        <v>-18685.214873945872</v>
      </c>
      <c r="G80" s="385">
        <f t="shared" ref="G80:AT80" si="19">G79*G78</f>
        <v>0</v>
      </c>
      <c r="H80" s="385">
        <f t="shared" si="19"/>
        <v>0</v>
      </c>
      <c r="I80" s="385">
        <f t="shared" si="19"/>
        <v>0</v>
      </c>
      <c r="J80" s="385">
        <f t="shared" si="19"/>
        <v>0</v>
      </c>
      <c r="K80" s="385">
        <f t="shared" si="19"/>
        <v>0</v>
      </c>
      <c r="L80" s="385">
        <f t="shared" si="19"/>
        <v>0</v>
      </c>
      <c r="M80" s="385">
        <f t="shared" si="19"/>
        <v>0</v>
      </c>
      <c r="N80" s="385">
        <f t="shared" si="19"/>
        <v>0</v>
      </c>
      <c r="O80" s="385">
        <f t="shared" si="19"/>
        <v>0</v>
      </c>
      <c r="P80" s="385">
        <f t="shared" si="19"/>
        <v>-115.64625592647036</v>
      </c>
      <c r="Q80" s="385">
        <f t="shared" si="19"/>
        <v>-231.29251185294072</v>
      </c>
      <c r="R80" s="385">
        <f t="shared" si="19"/>
        <v>-346.93876777941097</v>
      </c>
      <c r="S80" s="385">
        <f t="shared" si="19"/>
        <v>-462.58502370588144</v>
      </c>
      <c r="T80" s="385">
        <f t="shared" si="19"/>
        <v>-578.23127963235163</v>
      </c>
      <c r="U80" s="385">
        <f t="shared" si="19"/>
        <v>-898.30604561008238</v>
      </c>
      <c r="V80" s="385">
        <f t="shared" si="19"/>
        <v>-927.02240915222524</v>
      </c>
      <c r="W80" s="385">
        <f t="shared" si="19"/>
        <v>-956.65675553453082</v>
      </c>
      <c r="X80" s="385">
        <f t="shared" si="19"/>
        <v>-987.23843013332419</v>
      </c>
      <c r="Y80" s="385">
        <f t="shared" si="19"/>
        <v>-1018.7977164155724</v>
      </c>
      <c r="Z80" s="385">
        <f t="shared" si="19"/>
        <v>-1051.3658659270511</v>
      </c>
      <c r="AA80" s="385">
        <f t="shared" si="19"/>
        <v>-1084.9751292391518</v>
      </c>
      <c r="AB80" s="385">
        <f t="shared" si="19"/>
        <v>-1119.6587878849696</v>
      </c>
      <c r="AC80" s="385">
        <f t="shared" si="19"/>
        <v>-1155.451187316306</v>
      </c>
      <c r="AD80" s="385">
        <f t="shared" si="19"/>
        <v>-1192.3877709142055</v>
      </c>
      <c r="AE80" s="385">
        <f t="shared" si="19"/>
        <v>-1230.5051150867289</v>
      </c>
      <c r="AF80" s="385">
        <f t="shared" si="19"/>
        <v>-1269.8409654886909</v>
      </c>
      <c r="AG80" s="385">
        <f t="shared" si="19"/>
        <v>-1310.4342743992574</v>
      </c>
      <c r="AH80" s="385">
        <f t="shared" si="19"/>
        <v>-1352.325239294385</v>
      </c>
      <c r="AI80" s="385">
        <f t="shared" si="19"/>
        <v>-1395.5553426523325</v>
      </c>
      <c r="AJ80" s="385">
        <f t="shared" si="19"/>
        <v>0</v>
      </c>
      <c r="AK80" s="385">
        <f t="shared" si="19"/>
        <v>0</v>
      </c>
      <c r="AL80" s="385">
        <f t="shared" si="19"/>
        <v>0</v>
      </c>
      <c r="AM80" s="385">
        <f t="shared" si="19"/>
        <v>0</v>
      </c>
      <c r="AN80" s="385">
        <f t="shared" si="19"/>
        <v>0</v>
      </c>
      <c r="AO80" s="385">
        <f t="shared" si="19"/>
        <v>0</v>
      </c>
      <c r="AP80" s="385">
        <f t="shared" si="19"/>
        <v>0</v>
      </c>
      <c r="AQ80" s="385">
        <f t="shared" si="19"/>
        <v>0</v>
      </c>
      <c r="AR80" s="385">
        <f t="shared" si="19"/>
        <v>0</v>
      </c>
      <c r="AS80" s="385">
        <f t="shared" si="19"/>
        <v>0</v>
      </c>
      <c r="AT80" s="385">
        <f t="shared" si="19"/>
        <v>0</v>
      </c>
    </row>
    <row r="82" spans="1:48" x14ac:dyDescent="0.35">
      <c r="B82" s="8" t="s">
        <v>481</v>
      </c>
      <c r="F82" s="627">
        <f>SUM(G82:AT82)</f>
        <v>-45811.972762246085</v>
      </c>
      <c r="G82" s="385">
        <f>G80+G76+G72</f>
        <v>0</v>
      </c>
      <c r="H82" s="385">
        <f t="shared" ref="H82:AT82" si="20">H80+H76+H72</f>
        <v>0</v>
      </c>
      <c r="I82" s="385">
        <f t="shared" si="20"/>
        <v>0</v>
      </c>
      <c r="J82" s="385">
        <f t="shared" si="20"/>
        <v>0</v>
      </c>
      <c r="K82" s="385">
        <f t="shared" si="20"/>
        <v>0</v>
      </c>
      <c r="L82" s="385">
        <f t="shared" si="20"/>
        <v>0</v>
      </c>
      <c r="M82" s="385">
        <f t="shared" si="20"/>
        <v>0</v>
      </c>
      <c r="N82" s="385">
        <f t="shared" si="20"/>
        <v>0</v>
      </c>
      <c r="O82" s="385">
        <f t="shared" si="20"/>
        <v>0</v>
      </c>
      <c r="P82" s="385">
        <f t="shared" si="20"/>
        <v>-283.53878519997949</v>
      </c>
      <c r="Q82" s="385">
        <f t="shared" si="20"/>
        <v>-567.07757039995897</v>
      </c>
      <c r="R82" s="385">
        <f t="shared" si="20"/>
        <v>-850.61635559993829</v>
      </c>
      <c r="S82" s="385">
        <f t="shared" si="20"/>
        <v>-1134.1551407999179</v>
      </c>
      <c r="T82" s="385">
        <f t="shared" si="20"/>
        <v>-1417.6939259998971</v>
      </c>
      <c r="U82" s="385">
        <f t="shared" si="20"/>
        <v>-2202.4457503581025</v>
      </c>
      <c r="V82" s="385">
        <f t="shared" si="20"/>
        <v>-2272.8518587865246</v>
      </c>
      <c r="W82" s="385">
        <f t="shared" si="20"/>
        <v>-2345.5086560699297</v>
      </c>
      <c r="X82" s="385">
        <f t="shared" si="20"/>
        <v>-2420.4880905155733</v>
      </c>
      <c r="Y82" s="385">
        <f t="shared" si="20"/>
        <v>-2497.8644104194059</v>
      </c>
      <c r="Z82" s="385">
        <f t="shared" si="20"/>
        <v>-2577.714237590355</v>
      </c>
      <c r="AA82" s="385">
        <f t="shared" si="20"/>
        <v>-2660.1166432249847</v>
      </c>
      <c r="AB82" s="385">
        <f t="shared" si="20"/>
        <v>-2745.1532262076516</v>
      </c>
      <c r="AC82" s="385">
        <f t="shared" si="20"/>
        <v>-2832.9081939137059</v>
      </c>
      <c r="AD82" s="385">
        <f t="shared" si="20"/>
        <v>-2923.4684455957386</v>
      </c>
      <c r="AE82" s="385">
        <f t="shared" si="20"/>
        <v>-3016.923658435474</v>
      </c>
      <c r="AF82" s="385">
        <f t="shared" si="20"/>
        <v>-3113.3663763464788</v>
      </c>
      <c r="AG82" s="385">
        <f t="shared" si="20"/>
        <v>-3212.8921016156796</v>
      </c>
      <c r="AH82" s="385">
        <f t="shared" si="20"/>
        <v>-3315.5993894743669</v>
      </c>
      <c r="AI82" s="385">
        <f t="shared" si="20"/>
        <v>-3421.5899456924203</v>
      </c>
      <c r="AJ82" s="385">
        <f t="shared" si="20"/>
        <v>0</v>
      </c>
      <c r="AK82" s="385">
        <f t="shared" si="20"/>
        <v>0</v>
      </c>
      <c r="AL82" s="385">
        <f t="shared" si="20"/>
        <v>0</v>
      </c>
      <c r="AM82" s="385">
        <f t="shared" si="20"/>
        <v>0</v>
      </c>
      <c r="AN82" s="385">
        <f t="shared" si="20"/>
        <v>0</v>
      </c>
      <c r="AO82" s="385">
        <f t="shared" si="20"/>
        <v>0</v>
      </c>
      <c r="AP82" s="385">
        <f t="shared" si="20"/>
        <v>0</v>
      </c>
      <c r="AQ82" s="385">
        <f t="shared" si="20"/>
        <v>0</v>
      </c>
      <c r="AR82" s="385">
        <f t="shared" si="20"/>
        <v>0</v>
      </c>
      <c r="AS82" s="385">
        <f t="shared" si="20"/>
        <v>0</v>
      </c>
      <c r="AT82" s="385">
        <f t="shared" si="20"/>
        <v>0</v>
      </c>
    </row>
    <row r="84" spans="1:48" x14ac:dyDescent="0.35">
      <c r="A84" s="371"/>
      <c r="B84" s="371" t="s">
        <v>482</v>
      </c>
      <c r="F84" s="627">
        <f>SUM(G84:AT84)</f>
        <v>13035967.207274204</v>
      </c>
      <c r="G84" s="385">
        <f>G80+G76+G72+G64+G62+G58+G53+G48</f>
        <v>0</v>
      </c>
      <c r="H84" s="385">
        <f t="shared" ref="H84:AT84" si="21">H80+H76+H72+H64+H62+H58+H53+H48</f>
        <v>0</v>
      </c>
      <c r="I84" s="385">
        <f t="shared" si="21"/>
        <v>0</v>
      </c>
      <c r="J84" s="385">
        <f t="shared" si="21"/>
        <v>0</v>
      </c>
      <c r="K84" s="385">
        <f t="shared" si="21"/>
        <v>0</v>
      </c>
      <c r="L84" s="385">
        <f t="shared" si="21"/>
        <v>0</v>
      </c>
      <c r="M84" s="385">
        <f t="shared" si="21"/>
        <v>0</v>
      </c>
      <c r="N84" s="385">
        <f t="shared" si="21"/>
        <v>0</v>
      </c>
      <c r="O84" s="385">
        <f t="shared" si="21"/>
        <v>0</v>
      </c>
      <c r="P84" s="385">
        <f t="shared" si="21"/>
        <v>101866.66909245803</v>
      </c>
      <c r="Q84" s="385">
        <f t="shared" si="21"/>
        <v>198142.7010821185</v>
      </c>
      <c r="R84" s="385">
        <f t="shared" si="21"/>
        <v>288828.09596898139</v>
      </c>
      <c r="S84" s="385">
        <f t="shared" si="21"/>
        <v>373922.85375304666</v>
      </c>
      <c r="T84" s="385">
        <f t="shared" si="21"/>
        <v>453426.97443431453</v>
      </c>
      <c r="U84" s="385">
        <f t="shared" si="21"/>
        <v>682704.21976720169</v>
      </c>
      <c r="V84" s="385">
        <f t="shared" si="21"/>
        <v>682121.0659631337</v>
      </c>
      <c r="W84" s="385">
        <f t="shared" si="21"/>
        <v>680802.97012549441</v>
      </c>
      <c r="X84" s="385">
        <f t="shared" si="21"/>
        <v>697207.76018046041</v>
      </c>
      <c r="Y84" s="385">
        <f t="shared" si="21"/>
        <v>713965.66640061932</v>
      </c>
      <c r="Z84" s="385">
        <f t="shared" si="21"/>
        <v>731082.50095722661</v>
      </c>
      <c r="AA84" s="385">
        <f t="shared" si="21"/>
        <v>748564.08676872856</v>
      </c>
      <c r="AB84" s="385">
        <f t="shared" si="21"/>
        <v>766416.25224839256</v>
      </c>
      <c r="AC84" s="385">
        <f t="shared" si="21"/>
        <v>784644.82570515282</v>
      </c>
      <c r="AD84" s="385">
        <f t="shared" si="21"/>
        <v>803255.62938085652</v>
      </c>
      <c r="AE84" s="385">
        <f t="shared" si="21"/>
        <v>822254.4731063958</v>
      </c>
      <c r="AF84" s="385">
        <f t="shared" si="21"/>
        <v>841647.14755844465</v>
      </c>
      <c r="AG84" s="385">
        <f t="shared" si="21"/>
        <v>861439.41709775152</v>
      </c>
      <c r="AH84" s="385">
        <f t="shared" si="21"/>
        <v>888096.44020891096</v>
      </c>
      <c r="AI84" s="385">
        <f t="shared" si="21"/>
        <v>915577.45747451717</v>
      </c>
      <c r="AJ84" s="385">
        <f t="shared" si="21"/>
        <v>0</v>
      </c>
      <c r="AK84" s="385">
        <f t="shared" si="21"/>
        <v>0</v>
      </c>
      <c r="AL84" s="385">
        <f t="shared" si="21"/>
        <v>0</v>
      </c>
      <c r="AM84" s="385">
        <f t="shared" si="21"/>
        <v>0</v>
      </c>
      <c r="AN84" s="385">
        <f t="shared" si="21"/>
        <v>0</v>
      </c>
      <c r="AO84" s="385">
        <f t="shared" si="21"/>
        <v>0</v>
      </c>
      <c r="AP84" s="385">
        <f t="shared" si="21"/>
        <v>0</v>
      </c>
      <c r="AQ84" s="385">
        <f t="shared" si="21"/>
        <v>0</v>
      </c>
      <c r="AR84" s="385">
        <f t="shared" si="21"/>
        <v>0</v>
      </c>
      <c r="AS84" s="385">
        <f t="shared" si="21"/>
        <v>0</v>
      </c>
      <c r="AT84" s="385">
        <f t="shared" si="21"/>
        <v>0</v>
      </c>
    </row>
    <row r="85" spans="1:48" ht="14.15" customHeight="1" x14ac:dyDescent="0.35"/>
    <row r="86" spans="1:48" ht="2.9" customHeight="1" thickBot="1" x14ac:dyDescent="0.4">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row>
  </sheetData>
  <mergeCells count="5">
    <mergeCell ref="A3:B3"/>
    <mergeCell ref="A26:B26"/>
    <mergeCell ref="A27:B27"/>
    <mergeCell ref="A28:B28"/>
    <mergeCell ref="A29:B29"/>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23D6B-EA26-43EB-8F32-765D968ECBD5}">
  <sheetPr codeName="Sheet22">
    <tabColor theme="9" tint="-0.499984740745262"/>
  </sheetPr>
  <dimension ref="A1:AT24"/>
  <sheetViews>
    <sheetView topLeftCell="B1" workbookViewId="0">
      <selection activeCell="K7" sqref="K7"/>
    </sheetView>
  </sheetViews>
  <sheetFormatPr defaultColWidth="8.54296875" defaultRowHeight="14.5" x14ac:dyDescent="0.35"/>
  <cols>
    <col min="1" max="1" width="0.54296875" customWidth="1"/>
    <col min="2" max="2" width="29.54296875" customWidth="1"/>
    <col min="3" max="3" width="15.81640625" customWidth="1"/>
    <col min="5" max="5" width="13.453125" bestFit="1" customWidth="1"/>
    <col min="6" max="6" width="29.54296875" customWidth="1"/>
    <col min="7" max="7" width="17" customWidth="1"/>
    <col min="8" max="8" width="14" customWidth="1"/>
    <col min="9" max="9" width="12.453125" customWidth="1"/>
    <col min="10" max="10" width="22.1796875" customWidth="1"/>
    <col min="11" max="11" width="11.1796875" customWidth="1"/>
    <col min="12" max="14" width="11.54296875" bestFit="1" customWidth="1"/>
    <col min="15" max="15" width="16" customWidth="1"/>
    <col min="16" max="25" width="11.54296875" bestFit="1" customWidth="1"/>
    <col min="26" max="31" width="17.54296875" customWidth="1"/>
    <col min="32" max="33" width="12.54296875" customWidth="1"/>
    <col min="34" max="36" width="17.453125" customWidth="1"/>
    <col min="37" max="45" width="10.81640625" customWidth="1"/>
  </cols>
  <sheetData>
    <row r="1" spans="1:46" x14ac:dyDescent="0.35">
      <c r="A1" s="1"/>
      <c r="B1" s="9" t="s">
        <v>21</v>
      </c>
      <c r="C1" s="1"/>
      <c r="D1" s="1"/>
      <c r="E1" s="1"/>
      <c r="F1" s="1"/>
      <c r="G1" s="1"/>
      <c r="H1" s="1"/>
      <c r="I1" s="1"/>
      <c r="J1" s="1"/>
      <c r="K1" s="1"/>
      <c r="Q1" s="1"/>
      <c r="R1" s="1"/>
      <c r="S1" s="1"/>
      <c r="T1" s="1"/>
      <c r="U1" s="1"/>
      <c r="V1" s="1"/>
      <c r="W1" s="1"/>
      <c r="X1" s="1"/>
      <c r="Y1" s="1"/>
      <c r="Z1" s="1"/>
      <c r="AA1" s="1"/>
      <c r="AB1" s="1"/>
      <c r="AC1" s="1"/>
      <c r="AD1" s="1"/>
      <c r="AE1" s="1"/>
      <c r="AF1" s="1"/>
      <c r="AG1" s="1"/>
      <c r="AH1" s="1"/>
      <c r="AI1" s="1"/>
      <c r="AJ1" s="1"/>
      <c r="AK1" s="1"/>
      <c r="AL1" s="1"/>
      <c r="AM1" s="1"/>
      <c r="AN1" s="1"/>
      <c r="AO1" s="1"/>
      <c r="AP1" s="1"/>
      <c r="AQ1" s="1"/>
    </row>
    <row r="2" spans="1:46" x14ac:dyDescent="0.35">
      <c r="A2" s="793"/>
      <c r="B2" s="793"/>
      <c r="C2" s="1"/>
      <c r="D2" s="1"/>
      <c r="E2" s="1"/>
      <c r="F2" s="1"/>
      <c r="G2" s="1"/>
      <c r="H2" s="1"/>
      <c r="I2" s="1"/>
      <c r="J2" s="1"/>
      <c r="K2" s="1"/>
      <c r="L2" s="745" t="s">
        <v>483</v>
      </c>
      <c r="M2" s="746">
        <v>2022</v>
      </c>
      <c r="N2" s="747"/>
      <c r="O2" s="748"/>
      <c r="Q2" s="1"/>
      <c r="R2" s="1"/>
      <c r="S2" s="1"/>
      <c r="T2" s="1"/>
      <c r="U2" s="1"/>
      <c r="V2" s="1"/>
      <c r="W2" s="1"/>
      <c r="X2" s="1"/>
      <c r="Y2" s="1"/>
      <c r="Z2" s="1"/>
      <c r="AA2" s="1"/>
      <c r="AB2" s="1"/>
      <c r="AC2" s="1"/>
      <c r="AD2" s="1"/>
      <c r="AE2" s="1"/>
      <c r="AF2" s="1"/>
      <c r="AG2" s="1"/>
      <c r="AH2" s="1"/>
      <c r="AI2" s="1"/>
      <c r="AJ2" s="1"/>
      <c r="AK2" s="1"/>
      <c r="AL2" s="1"/>
      <c r="AM2" s="1"/>
      <c r="AN2" s="1"/>
      <c r="AO2" s="1"/>
      <c r="AP2" s="1"/>
      <c r="AQ2" s="1"/>
    </row>
    <row r="3" spans="1:46" ht="29" x14ac:dyDescent="0.35">
      <c r="A3" s="1"/>
      <c r="B3" s="2" t="s">
        <v>35</v>
      </c>
      <c r="C3" s="2" t="s">
        <v>36</v>
      </c>
      <c r="D3" s="1"/>
      <c r="E3" s="1"/>
      <c r="F3" s="2" t="s">
        <v>484</v>
      </c>
      <c r="G3" s="2" t="s">
        <v>485</v>
      </c>
      <c r="H3" s="517" t="s">
        <v>486</v>
      </c>
      <c r="I3" s="2" t="s">
        <v>487</v>
      </c>
      <c r="J3" s="1"/>
      <c r="K3" s="1"/>
      <c r="L3" s="690" t="s">
        <v>488</v>
      </c>
      <c r="M3" s="1"/>
      <c r="N3" s="1"/>
      <c r="O3" s="691"/>
      <c r="Q3" s="1"/>
      <c r="R3" s="2" t="s">
        <v>35</v>
      </c>
      <c r="S3" s="2" t="s">
        <v>36</v>
      </c>
      <c r="T3" s="1"/>
      <c r="U3" s="1"/>
      <c r="V3" s="1"/>
      <c r="W3" s="1"/>
      <c r="X3" s="1"/>
      <c r="Y3" s="1"/>
      <c r="Z3" s="1"/>
      <c r="AA3" s="1"/>
      <c r="AB3" s="1"/>
      <c r="AC3" s="1"/>
      <c r="AD3" s="1"/>
      <c r="AE3" s="1"/>
      <c r="AF3" s="1"/>
      <c r="AG3" s="1"/>
      <c r="AH3" s="1"/>
      <c r="AI3" s="1"/>
      <c r="AJ3" s="1"/>
      <c r="AK3" s="1"/>
      <c r="AL3" s="1"/>
      <c r="AM3" s="1"/>
      <c r="AN3" s="1"/>
    </row>
    <row r="4" spans="1:46" ht="36.5" x14ac:dyDescent="0.35">
      <c r="A4" s="1"/>
      <c r="B4" s="1" t="s">
        <v>37</v>
      </c>
      <c r="C4" s="1">
        <f>Inputs!D8</f>
        <v>2024</v>
      </c>
      <c r="D4" s="1"/>
      <c r="E4" s="1"/>
      <c r="F4" s="710" t="s">
        <v>489</v>
      </c>
      <c r="G4" s="521">
        <v>1411.0666666666666</v>
      </c>
      <c r="H4" s="519">
        <f>(300*Inflation!CX10*G4)/$H$8</f>
        <v>22493.99733950162</v>
      </c>
      <c r="I4" s="520">
        <v>1</v>
      </c>
      <c r="J4" s="711" t="s">
        <v>490</v>
      </c>
      <c r="K4" s="1"/>
      <c r="L4" s="690" t="s">
        <v>491</v>
      </c>
      <c r="M4" s="1"/>
      <c r="N4" s="1"/>
      <c r="O4" s="691"/>
      <c r="Q4" s="1"/>
      <c r="R4" s="167" t="s">
        <v>429</v>
      </c>
      <c r="S4" s="1">
        <v>-1</v>
      </c>
      <c r="T4" s="1"/>
      <c r="U4" s="1"/>
      <c r="V4" s="1"/>
      <c r="W4" s="1"/>
      <c r="X4" s="1"/>
      <c r="Y4" s="1"/>
      <c r="Z4" s="1"/>
      <c r="AA4" s="1"/>
      <c r="AB4" s="1"/>
      <c r="AC4" s="1"/>
      <c r="AD4" s="1"/>
      <c r="AE4" s="1"/>
      <c r="AF4" s="1"/>
      <c r="AG4" s="1"/>
      <c r="AH4" s="1"/>
      <c r="AI4" s="1"/>
      <c r="AJ4" s="1"/>
      <c r="AK4" s="1"/>
      <c r="AL4" s="1"/>
      <c r="AM4" s="1"/>
      <c r="AN4" s="1"/>
    </row>
    <row r="5" spans="1:46" ht="15" thickBot="1" x14ac:dyDescent="0.4">
      <c r="A5" s="1"/>
      <c r="B5" s="1" t="s">
        <v>38</v>
      </c>
      <c r="C5" s="1">
        <f>Inputs!D11</f>
        <v>2033</v>
      </c>
      <c r="D5" s="1"/>
      <c r="E5" s="1"/>
      <c r="F5" s="146" t="s">
        <v>492</v>
      </c>
      <c r="G5">
        <v>1</v>
      </c>
      <c r="H5" s="519">
        <f>30000*Inflation!CX10*G5</f>
        <v>31882.260237411352</v>
      </c>
      <c r="I5" s="520">
        <v>3</v>
      </c>
      <c r="J5" s="1"/>
      <c r="K5" s="1"/>
      <c r="L5" s="690" t="s">
        <v>493</v>
      </c>
      <c r="M5" s="1"/>
      <c r="N5" s="1"/>
      <c r="O5" s="691"/>
      <c r="Q5" s="1"/>
      <c r="R5" s="4"/>
      <c r="S5" s="4"/>
      <c r="T5" s="1"/>
      <c r="U5" s="1"/>
      <c r="V5" s="1"/>
      <c r="W5" s="1"/>
      <c r="X5" s="1"/>
      <c r="Y5" s="1"/>
      <c r="Z5" s="1"/>
      <c r="AA5" s="1"/>
      <c r="AB5" s="1"/>
      <c r="AC5" s="1"/>
      <c r="AD5" s="1"/>
      <c r="AE5" s="1"/>
      <c r="AF5" s="1"/>
      <c r="AG5" s="1"/>
      <c r="AH5" s="1"/>
      <c r="AI5" s="1"/>
      <c r="AJ5" s="1"/>
      <c r="AK5" s="1"/>
      <c r="AL5" s="1"/>
      <c r="AM5" s="1"/>
      <c r="AN5" s="1"/>
    </row>
    <row r="6" spans="1:46" x14ac:dyDescent="0.35">
      <c r="A6" s="1"/>
      <c r="B6" s="1" t="s">
        <v>39</v>
      </c>
      <c r="C6" s="1">
        <f>Inputs!D13</f>
        <v>2052</v>
      </c>
      <c r="D6" s="1"/>
      <c r="E6" s="1"/>
      <c r="F6" s="710" t="s">
        <v>494</v>
      </c>
      <c r="G6">
        <v>1</v>
      </c>
      <c r="H6" s="519">
        <f>40000*Inflation!CX10*G6</f>
        <v>42509.680316548467</v>
      </c>
      <c r="I6" s="520">
        <v>6</v>
      </c>
      <c r="J6" s="1"/>
      <c r="K6" s="1"/>
      <c r="L6" s="692" t="s">
        <v>495</v>
      </c>
      <c r="M6" s="693"/>
      <c r="N6" s="693"/>
      <c r="O6" s="694"/>
      <c r="P6" s="1"/>
      <c r="Q6" s="1"/>
      <c r="R6" s="1"/>
      <c r="S6" s="1"/>
      <c r="T6" s="1"/>
      <c r="U6" s="1"/>
      <c r="V6" s="1"/>
      <c r="W6" s="1"/>
      <c r="X6" s="1"/>
      <c r="Y6" s="1"/>
      <c r="Z6" s="1"/>
      <c r="AA6" s="1"/>
      <c r="AB6" s="1"/>
      <c r="AC6" s="1"/>
      <c r="AD6" s="1"/>
      <c r="AE6" s="1"/>
      <c r="AF6" s="1"/>
      <c r="AG6" s="1"/>
      <c r="AH6" s="1"/>
      <c r="AI6" s="1"/>
      <c r="AJ6" s="1"/>
      <c r="AK6" s="1"/>
      <c r="AL6" s="1"/>
      <c r="AM6" s="1"/>
      <c r="AN6" s="1"/>
      <c r="AO6" s="1"/>
      <c r="AP6" s="1"/>
      <c r="AQ6" s="1"/>
    </row>
    <row r="7" spans="1:46" x14ac:dyDescent="0.35">
      <c r="A7" s="1"/>
      <c r="B7" s="1" t="s">
        <v>40</v>
      </c>
      <c r="C7" s="1">
        <f>Inputs!D14</f>
        <v>20</v>
      </c>
      <c r="D7" s="1"/>
      <c r="E7" s="1"/>
      <c r="F7" s="710" t="s">
        <v>496</v>
      </c>
      <c r="G7">
        <v>1</v>
      </c>
      <c r="H7" s="519">
        <f>10000*Inflation!CX10*G7</f>
        <v>10627.420079137117</v>
      </c>
      <c r="I7" s="520">
        <v>9</v>
      </c>
      <c r="J7" s="1"/>
      <c r="K7" s="1"/>
      <c r="L7" s="712" t="s">
        <v>497</v>
      </c>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row>
    <row r="8" spans="1:46" ht="15" thickBot="1" x14ac:dyDescent="0.4">
      <c r="A8" s="1"/>
      <c r="B8" s="1" t="s">
        <v>41</v>
      </c>
      <c r="C8" s="10">
        <f>Inputs!D15</f>
        <v>7.0000000000000007E-2</v>
      </c>
      <c r="D8" s="1"/>
      <c r="E8" s="1"/>
      <c r="F8" s="4" t="s">
        <v>498</v>
      </c>
      <c r="G8" s="4"/>
      <c r="H8" s="4">
        <v>20</v>
      </c>
      <c r="I8" s="4"/>
      <c r="J8" s="1"/>
      <c r="K8" s="1"/>
      <c r="L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row>
    <row r="9" spans="1:46" ht="15" thickBot="1" x14ac:dyDescent="0.4">
      <c r="A9" s="1"/>
      <c r="B9" s="4"/>
      <c r="C9" s="4"/>
      <c r="D9" s="1"/>
      <c r="E9" s="1"/>
      <c r="F9" s="1"/>
      <c r="H9" s="12"/>
      <c r="I9" s="12"/>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row>
    <row r="10" spans="1:46" ht="4.4000000000000004" customHeight="1" thickBot="1" x14ac:dyDescent="0.4">
      <c r="A10" s="4"/>
      <c r="D10" s="1"/>
      <c r="E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row>
    <row r="11" spans="1:46" x14ac:dyDescent="0.35">
      <c r="A11" s="793"/>
      <c r="B11" s="793"/>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row>
    <row r="12" spans="1:46" x14ac:dyDescent="0.35">
      <c r="A12" s="794" t="s">
        <v>42</v>
      </c>
      <c r="B12" s="794"/>
      <c r="C12" s="2"/>
      <c r="D12" s="2"/>
      <c r="E12" s="2"/>
      <c r="F12" s="2">
        <f>C4</f>
        <v>2024</v>
      </c>
      <c r="G12" s="2">
        <f>F12+1</f>
        <v>2025</v>
      </c>
      <c r="H12" s="2">
        <f t="shared" ref="H12:AS12" si="0">G12+1</f>
        <v>2026</v>
      </c>
      <c r="I12" s="2">
        <f t="shared" si="0"/>
        <v>2027</v>
      </c>
      <c r="J12" s="2">
        <f t="shared" si="0"/>
        <v>2028</v>
      </c>
      <c r="K12" s="2">
        <f>J12+1</f>
        <v>2029</v>
      </c>
      <c r="L12" s="2">
        <f t="shared" si="0"/>
        <v>2030</v>
      </c>
      <c r="M12" s="2">
        <f t="shared" si="0"/>
        <v>2031</v>
      </c>
      <c r="N12" s="2">
        <f t="shared" si="0"/>
        <v>2032</v>
      </c>
      <c r="O12" s="2">
        <f t="shared" si="0"/>
        <v>2033</v>
      </c>
      <c r="P12" s="2">
        <f t="shared" si="0"/>
        <v>2034</v>
      </c>
      <c r="Q12" s="2">
        <f t="shared" si="0"/>
        <v>2035</v>
      </c>
      <c r="R12" s="2">
        <f t="shared" si="0"/>
        <v>2036</v>
      </c>
      <c r="S12" s="2">
        <f t="shared" si="0"/>
        <v>2037</v>
      </c>
      <c r="T12" s="2">
        <f t="shared" si="0"/>
        <v>2038</v>
      </c>
      <c r="U12" s="2">
        <f t="shared" si="0"/>
        <v>2039</v>
      </c>
      <c r="V12" s="2">
        <f t="shared" si="0"/>
        <v>2040</v>
      </c>
      <c r="W12" s="2">
        <f t="shared" si="0"/>
        <v>2041</v>
      </c>
      <c r="X12" s="2">
        <f t="shared" si="0"/>
        <v>2042</v>
      </c>
      <c r="Y12" s="2">
        <f t="shared" si="0"/>
        <v>2043</v>
      </c>
      <c r="Z12" s="2">
        <f t="shared" si="0"/>
        <v>2044</v>
      </c>
      <c r="AA12" s="2">
        <f t="shared" si="0"/>
        <v>2045</v>
      </c>
      <c r="AB12" s="2">
        <f t="shared" si="0"/>
        <v>2046</v>
      </c>
      <c r="AC12" s="2">
        <f t="shared" si="0"/>
        <v>2047</v>
      </c>
      <c r="AD12" s="2">
        <f t="shared" si="0"/>
        <v>2048</v>
      </c>
      <c r="AE12" s="2">
        <f t="shared" si="0"/>
        <v>2049</v>
      </c>
      <c r="AF12" s="2">
        <f t="shared" si="0"/>
        <v>2050</v>
      </c>
      <c r="AG12" s="2">
        <f t="shared" si="0"/>
        <v>2051</v>
      </c>
      <c r="AH12" s="2">
        <f t="shared" si="0"/>
        <v>2052</v>
      </c>
      <c r="AI12" s="2">
        <f t="shared" si="0"/>
        <v>2053</v>
      </c>
      <c r="AJ12" s="2">
        <f t="shared" si="0"/>
        <v>2054</v>
      </c>
      <c r="AK12" s="2">
        <f t="shared" si="0"/>
        <v>2055</v>
      </c>
      <c r="AL12" s="2">
        <f t="shared" si="0"/>
        <v>2056</v>
      </c>
      <c r="AM12" s="2">
        <f t="shared" si="0"/>
        <v>2057</v>
      </c>
      <c r="AN12" s="2">
        <f t="shared" si="0"/>
        <v>2058</v>
      </c>
      <c r="AO12" s="2">
        <f t="shared" si="0"/>
        <v>2059</v>
      </c>
      <c r="AP12" s="2">
        <f t="shared" si="0"/>
        <v>2060</v>
      </c>
      <c r="AQ12" s="2">
        <f t="shared" si="0"/>
        <v>2061</v>
      </c>
      <c r="AR12" s="2">
        <f t="shared" si="0"/>
        <v>2062</v>
      </c>
      <c r="AS12" s="2">
        <f t="shared" si="0"/>
        <v>2063</v>
      </c>
      <c r="AT12" s="2">
        <f>AS12+1</f>
        <v>2064</v>
      </c>
    </row>
    <row r="13" spans="1:46" x14ac:dyDescent="0.35">
      <c r="A13" s="794" t="s">
        <v>286</v>
      </c>
      <c r="B13" s="794"/>
      <c r="C13" s="1"/>
      <c r="D13" s="1"/>
      <c r="E13" s="1"/>
      <c r="F13" s="11">
        <f t="shared" ref="F13:AG13" si="1">IF(F12="","",1/((1+$C$8)^(F12-$C$4)))</f>
        <v>1</v>
      </c>
      <c r="G13" s="11">
        <f t="shared" si="1"/>
        <v>0.93457943925233644</v>
      </c>
      <c r="H13" s="11">
        <f t="shared" si="1"/>
        <v>0.87343872827321156</v>
      </c>
      <c r="I13" s="11">
        <f t="shared" si="1"/>
        <v>0.81629787689085187</v>
      </c>
      <c r="J13" s="11">
        <f t="shared" si="1"/>
        <v>0.7628952120475252</v>
      </c>
      <c r="K13" s="11">
        <f t="shared" si="1"/>
        <v>0.71298617948366838</v>
      </c>
      <c r="L13" s="11">
        <f t="shared" si="1"/>
        <v>0.66634222381651254</v>
      </c>
      <c r="M13" s="11">
        <f t="shared" si="1"/>
        <v>0.62274974188459109</v>
      </c>
      <c r="N13" s="11">
        <f t="shared" si="1"/>
        <v>0.5820091045650384</v>
      </c>
      <c r="O13" s="11">
        <f t="shared" si="1"/>
        <v>0.54393374258414806</v>
      </c>
      <c r="P13" s="11">
        <f t="shared" si="1"/>
        <v>0.5083492921347178</v>
      </c>
      <c r="Q13" s="11">
        <f t="shared" si="1"/>
        <v>0.47509279638758667</v>
      </c>
      <c r="R13" s="11">
        <f t="shared" si="1"/>
        <v>0.44401195924073528</v>
      </c>
      <c r="S13" s="11">
        <f t="shared" si="1"/>
        <v>0.41496444788853759</v>
      </c>
      <c r="T13" s="11">
        <f t="shared" si="1"/>
        <v>0.3878172410173249</v>
      </c>
      <c r="U13" s="11">
        <f t="shared" si="1"/>
        <v>0.36244601964235967</v>
      </c>
      <c r="V13" s="11">
        <f t="shared" si="1"/>
        <v>0.33873459779659787</v>
      </c>
      <c r="W13" s="11">
        <f t="shared" si="1"/>
        <v>0.31657439046411018</v>
      </c>
      <c r="X13" s="11">
        <f t="shared" si="1"/>
        <v>0.29586391632159825</v>
      </c>
      <c r="Y13" s="11">
        <f t="shared" si="1"/>
        <v>0.27650833301083949</v>
      </c>
      <c r="Z13" s="11">
        <f t="shared" si="1"/>
        <v>0.2584190028138687</v>
      </c>
      <c r="AA13" s="11">
        <f t="shared" si="1"/>
        <v>0.24151308674193336</v>
      </c>
      <c r="AB13" s="11">
        <f t="shared" si="1"/>
        <v>0.22571316517937698</v>
      </c>
      <c r="AC13" s="11">
        <f t="shared" si="1"/>
        <v>0.21094688334521211</v>
      </c>
      <c r="AD13" s="11">
        <f t="shared" si="1"/>
        <v>0.19714661994879637</v>
      </c>
      <c r="AE13" s="11">
        <f t="shared" si="1"/>
        <v>0.18424917752223957</v>
      </c>
      <c r="AF13" s="11">
        <f t="shared" si="1"/>
        <v>0.17219549301143888</v>
      </c>
      <c r="AG13" s="11">
        <f t="shared" si="1"/>
        <v>0.16093036730041013</v>
      </c>
      <c r="AH13" s="11">
        <f>IF(AH12="","",1/((1+$C$8)^(AH12-$C$4)))</f>
        <v>0.15040221243028987</v>
      </c>
      <c r="AI13" s="11">
        <f>IF(AI12="","",1/((1+$C$8)^(AI12-$C$4)))</f>
        <v>0.1405628153554111</v>
      </c>
      <c r="AJ13" s="11">
        <f>IF(AJ12="","",1/((1+$C$8)^(AJ12-$C$4)))</f>
        <v>0.13136711715458982</v>
      </c>
      <c r="AK13" s="11">
        <f t="shared" ref="AK13:AS13" si="2">IF(AK12="","",1/((1+$C$8)^(AK12-$C$4)))</f>
        <v>0.1227730066865325</v>
      </c>
      <c r="AL13" s="11">
        <f t="shared" si="2"/>
        <v>0.11474112774442291</v>
      </c>
      <c r="AM13" s="11">
        <f t="shared" si="2"/>
        <v>0.10723469882656347</v>
      </c>
      <c r="AN13" s="11">
        <f t="shared" si="2"/>
        <v>0.10021934469772288</v>
      </c>
      <c r="AO13" s="11">
        <f t="shared" si="2"/>
        <v>9.366293896983445E-2</v>
      </c>
      <c r="AP13" s="11">
        <f t="shared" si="2"/>
        <v>8.7535456981153698E-2</v>
      </c>
      <c r="AQ13" s="11">
        <f t="shared" si="2"/>
        <v>8.1808838300143641E-2</v>
      </c>
      <c r="AR13" s="11">
        <f t="shared" si="2"/>
        <v>7.6456858224433308E-2</v>
      </c>
      <c r="AS13" s="11">
        <f t="shared" si="2"/>
        <v>7.1455007686386268E-2</v>
      </c>
      <c r="AT13" s="11">
        <f>IF(AT12="","",1/((1+$C$8)^(AT12-$C$4)))</f>
        <v>6.6780381015314264E-2</v>
      </c>
    </row>
    <row r="14" spans="1:46" x14ac:dyDescent="0.35">
      <c r="A14" s="794" t="s">
        <v>44</v>
      </c>
      <c r="B14" s="794"/>
      <c r="F14">
        <f>IF(AND(F12&gt;=$C$5,F12&lt;=$C$6),1,0)</f>
        <v>0</v>
      </c>
      <c r="G14">
        <f t="shared" ref="G14:AG14" si="3">IF(AND(G12&gt;=$C$5,G12&lt;=$C$6),1,0)</f>
        <v>0</v>
      </c>
      <c r="H14">
        <f t="shared" si="3"/>
        <v>0</v>
      </c>
      <c r="I14">
        <f t="shared" si="3"/>
        <v>0</v>
      </c>
      <c r="J14">
        <f t="shared" si="3"/>
        <v>0</v>
      </c>
      <c r="K14">
        <f t="shared" si="3"/>
        <v>0</v>
      </c>
      <c r="L14">
        <f t="shared" si="3"/>
        <v>0</v>
      </c>
      <c r="M14">
        <f>IF(AND(M12&gt;=$C$5,M12&lt;=$C$6),1,0)</f>
        <v>0</v>
      </c>
      <c r="N14">
        <f t="shared" si="3"/>
        <v>0</v>
      </c>
      <c r="O14">
        <f t="shared" si="3"/>
        <v>1</v>
      </c>
      <c r="P14">
        <f t="shared" si="3"/>
        <v>1</v>
      </c>
      <c r="Q14">
        <f t="shared" si="3"/>
        <v>1</v>
      </c>
      <c r="R14">
        <f t="shared" si="3"/>
        <v>1</v>
      </c>
      <c r="S14">
        <f t="shared" si="3"/>
        <v>1</v>
      </c>
      <c r="T14">
        <f t="shared" si="3"/>
        <v>1</v>
      </c>
      <c r="U14">
        <f t="shared" si="3"/>
        <v>1</v>
      </c>
      <c r="V14">
        <f t="shared" si="3"/>
        <v>1</v>
      </c>
      <c r="W14">
        <f t="shared" si="3"/>
        <v>1</v>
      </c>
      <c r="X14">
        <f t="shared" si="3"/>
        <v>1</v>
      </c>
      <c r="Y14">
        <f t="shared" si="3"/>
        <v>1</v>
      </c>
      <c r="Z14">
        <f t="shared" si="3"/>
        <v>1</v>
      </c>
      <c r="AA14">
        <f t="shared" si="3"/>
        <v>1</v>
      </c>
      <c r="AB14">
        <f t="shared" si="3"/>
        <v>1</v>
      </c>
      <c r="AC14">
        <f t="shared" si="3"/>
        <v>1</v>
      </c>
      <c r="AD14">
        <f t="shared" si="3"/>
        <v>1</v>
      </c>
      <c r="AE14">
        <f t="shared" si="3"/>
        <v>1</v>
      </c>
      <c r="AF14">
        <f t="shared" si="3"/>
        <v>1</v>
      </c>
      <c r="AG14">
        <f t="shared" si="3"/>
        <v>1</v>
      </c>
      <c r="AH14">
        <f>IF(AND(AH12&gt;=$C$5,AH12&lt;=$C$6),1,0)</f>
        <v>1</v>
      </c>
      <c r="AI14">
        <f>IF(AND(AI12&gt;=$C$5,AI12&lt;=$C$6),1,0)</f>
        <v>0</v>
      </c>
      <c r="AJ14">
        <f>IF(AND(AJ12&gt;=$C$5,AJ12&lt;=$C$6),1,0)</f>
        <v>0</v>
      </c>
      <c r="AK14">
        <f t="shared" ref="AK14:AT14" si="4">IF(AND(AK12&gt;=$C$5,AK12&lt;=$C$6),1,0)</f>
        <v>0</v>
      </c>
      <c r="AL14">
        <f t="shared" si="4"/>
        <v>0</v>
      </c>
      <c r="AM14">
        <f t="shared" si="4"/>
        <v>0</v>
      </c>
      <c r="AN14">
        <f t="shared" si="4"/>
        <v>0</v>
      </c>
      <c r="AO14">
        <f t="shared" si="4"/>
        <v>0</v>
      </c>
      <c r="AP14">
        <f t="shared" si="4"/>
        <v>0</v>
      </c>
      <c r="AQ14">
        <f t="shared" si="4"/>
        <v>0</v>
      </c>
      <c r="AR14">
        <f t="shared" si="4"/>
        <v>0</v>
      </c>
      <c r="AS14">
        <f t="shared" si="4"/>
        <v>0</v>
      </c>
      <c r="AT14">
        <f t="shared" si="4"/>
        <v>0</v>
      </c>
    </row>
    <row r="15" spans="1:46" ht="4.4000000000000004" customHeight="1" thickBot="1" x14ac:dyDescent="0.4">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row>
    <row r="16" spans="1:46" x14ac:dyDescent="0.35">
      <c r="E16" s="90" t="s">
        <v>46</v>
      </c>
    </row>
    <row r="17" spans="1:46" ht="51.65" customHeight="1" x14ac:dyDescent="0.35">
      <c r="C17" s="736" t="s">
        <v>499</v>
      </c>
      <c r="E17" s="90"/>
    </row>
    <row r="18" spans="1:46" x14ac:dyDescent="0.35">
      <c r="B18" s="1" t="s">
        <v>489</v>
      </c>
      <c r="C18" s="737">
        <f>COUNTIF(F18:AT18,"&lt;&gt;0")</f>
        <v>19</v>
      </c>
      <c r="E18" s="184">
        <f>SUM(F18:AT18)</f>
        <v>427385.94945053087</v>
      </c>
      <c r="F18" s="384">
        <f>IF(F$12&lt;$C$5,0,IF(AND(F$12&gt;$C$5,MOD(F$12-$C$5,$I4)=0),$H4,0))*F14</f>
        <v>0</v>
      </c>
      <c r="G18" s="384">
        <f t="shared" ref="G18:AT18" si="5">IF(G$12&lt;$C$5,0,IF(AND(G$12&gt;$C$5,MOD(G$12-$C$5,$I4)=0),$H4,0))*G14</f>
        <v>0</v>
      </c>
      <c r="H18" s="384">
        <f t="shared" si="5"/>
        <v>0</v>
      </c>
      <c r="I18" s="384">
        <f t="shared" si="5"/>
        <v>0</v>
      </c>
      <c r="J18" s="384">
        <f t="shared" si="5"/>
        <v>0</v>
      </c>
      <c r="K18" s="384">
        <f t="shared" si="5"/>
        <v>0</v>
      </c>
      <c r="L18" s="384">
        <f t="shared" si="5"/>
        <v>0</v>
      </c>
      <c r="M18" s="384">
        <f t="shared" si="5"/>
        <v>0</v>
      </c>
      <c r="N18" s="384">
        <f t="shared" si="5"/>
        <v>0</v>
      </c>
      <c r="O18" s="384">
        <f t="shared" si="5"/>
        <v>0</v>
      </c>
      <c r="P18" s="384">
        <f t="shared" si="5"/>
        <v>22493.99733950162</v>
      </c>
      <c r="Q18" s="384">
        <f t="shared" si="5"/>
        <v>22493.99733950162</v>
      </c>
      <c r="R18" s="384">
        <f t="shared" si="5"/>
        <v>22493.99733950162</v>
      </c>
      <c r="S18" s="384">
        <f t="shared" si="5"/>
        <v>22493.99733950162</v>
      </c>
      <c r="T18" s="384">
        <f t="shared" si="5"/>
        <v>22493.99733950162</v>
      </c>
      <c r="U18" s="384">
        <f t="shared" si="5"/>
        <v>22493.99733950162</v>
      </c>
      <c r="V18" s="384">
        <f t="shared" si="5"/>
        <v>22493.99733950162</v>
      </c>
      <c r="W18" s="384">
        <f t="shared" si="5"/>
        <v>22493.99733950162</v>
      </c>
      <c r="X18" s="384">
        <f t="shared" si="5"/>
        <v>22493.99733950162</v>
      </c>
      <c r="Y18" s="384">
        <f t="shared" si="5"/>
        <v>22493.99733950162</v>
      </c>
      <c r="Z18" s="384">
        <f t="shared" si="5"/>
        <v>22493.99733950162</v>
      </c>
      <c r="AA18" s="384">
        <f t="shared" si="5"/>
        <v>22493.99733950162</v>
      </c>
      <c r="AB18" s="384">
        <f t="shared" si="5"/>
        <v>22493.99733950162</v>
      </c>
      <c r="AC18" s="384">
        <f t="shared" si="5"/>
        <v>22493.99733950162</v>
      </c>
      <c r="AD18" s="384">
        <f t="shared" si="5"/>
        <v>22493.99733950162</v>
      </c>
      <c r="AE18" s="384">
        <f t="shared" si="5"/>
        <v>22493.99733950162</v>
      </c>
      <c r="AF18" s="384">
        <f t="shared" si="5"/>
        <v>22493.99733950162</v>
      </c>
      <c r="AG18" s="384">
        <f t="shared" si="5"/>
        <v>22493.99733950162</v>
      </c>
      <c r="AH18" s="384">
        <f t="shared" si="5"/>
        <v>22493.99733950162</v>
      </c>
      <c r="AI18" s="384">
        <f t="shared" si="5"/>
        <v>0</v>
      </c>
      <c r="AJ18" s="384">
        <f t="shared" si="5"/>
        <v>0</v>
      </c>
      <c r="AK18" s="384">
        <f t="shared" si="5"/>
        <v>0</v>
      </c>
      <c r="AL18" s="384">
        <f t="shared" si="5"/>
        <v>0</v>
      </c>
      <c r="AM18" s="384">
        <f t="shared" si="5"/>
        <v>0</v>
      </c>
      <c r="AN18" s="384">
        <f t="shared" si="5"/>
        <v>0</v>
      </c>
      <c r="AO18" s="384">
        <f t="shared" si="5"/>
        <v>0</v>
      </c>
      <c r="AP18" s="384">
        <f t="shared" si="5"/>
        <v>0</v>
      </c>
      <c r="AQ18" s="384">
        <f t="shared" si="5"/>
        <v>0</v>
      </c>
      <c r="AR18" s="384">
        <f t="shared" si="5"/>
        <v>0</v>
      </c>
      <c r="AS18" s="384">
        <f t="shared" si="5"/>
        <v>0</v>
      </c>
      <c r="AT18" s="384">
        <f t="shared" si="5"/>
        <v>0</v>
      </c>
    </row>
    <row r="19" spans="1:46" x14ac:dyDescent="0.35">
      <c r="B19" t="s">
        <v>492</v>
      </c>
      <c r="C19" s="737">
        <f>COUNTIF(F19:AT19,"&lt;&gt;0")</f>
        <v>6</v>
      </c>
      <c r="E19" s="184">
        <f>SUM(F19:AT19)</f>
        <v>191293.56142446812</v>
      </c>
      <c r="F19" s="384">
        <f>IF(F$12&lt;$C$5,0,IF(AND(F$12&gt;$C$5,MOD(F$12-$C$5,$I5)=0),$H5,0))*F14</f>
        <v>0</v>
      </c>
      <c r="G19" s="384">
        <f t="shared" ref="G19:AT19" si="6">IF(G$12&lt;$C$5,0,IF(AND(G$12&gt;$C$5,MOD(G$12-$C$5,$I5)=0),$H5,0))*G14</f>
        <v>0</v>
      </c>
      <c r="H19" s="384">
        <f t="shared" si="6"/>
        <v>0</v>
      </c>
      <c r="I19" s="384">
        <f t="shared" si="6"/>
        <v>0</v>
      </c>
      <c r="J19" s="384">
        <f t="shared" si="6"/>
        <v>0</v>
      </c>
      <c r="K19" s="384">
        <f t="shared" si="6"/>
        <v>0</v>
      </c>
      <c r="L19" s="384">
        <f t="shared" si="6"/>
        <v>0</v>
      </c>
      <c r="M19" s="384">
        <f t="shared" si="6"/>
        <v>0</v>
      </c>
      <c r="N19" s="384">
        <f t="shared" si="6"/>
        <v>0</v>
      </c>
      <c r="O19" s="384">
        <f t="shared" si="6"/>
        <v>0</v>
      </c>
      <c r="P19" s="384">
        <f t="shared" si="6"/>
        <v>0</v>
      </c>
      <c r="Q19" s="384">
        <f t="shared" si="6"/>
        <v>0</v>
      </c>
      <c r="R19" s="384">
        <f t="shared" si="6"/>
        <v>31882.260237411352</v>
      </c>
      <c r="S19" s="384">
        <f t="shared" si="6"/>
        <v>0</v>
      </c>
      <c r="T19" s="384">
        <f t="shared" si="6"/>
        <v>0</v>
      </c>
      <c r="U19" s="384">
        <f t="shared" si="6"/>
        <v>31882.260237411352</v>
      </c>
      <c r="V19" s="384">
        <f t="shared" si="6"/>
        <v>0</v>
      </c>
      <c r="W19" s="384">
        <f t="shared" si="6"/>
        <v>0</v>
      </c>
      <c r="X19" s="384">
        <f t="shared" si="6"/>
        <v>31882.260237411352</v>
      </c>
      <c r="Y19" s="384">
        <f t="shared" si="6"/>
        <v>0</v>
      </c>
      <c r="Z19" s="384">
        <f t="shared" si="6"/>
        <v>0</v>
      </c>
      <c r="AA19" s="384">
        <f t="shared" si="6"/>
        <v>31882.260237411352</v>
      </c>
      <c r="AB19" s="384">
        <f t="shared" si="6"/>
        <v>0</v>
      </c>
      <c r="AC19" s="384">
        <f t="shared" si="6"/>
        <v>0</v>
      </c>
      <c r="AD19" s="384">
        <f t="shared" si="6"/>
        <v>31882.260237411352</v>
      </c>
      <c r="AE19" s="384">
        <f t="shared" si="6"/>
        <v>0</v>
      </c>
      <c r="AF19" s="384">
        <f t="shared" si="6"/>
        <v>0</v>
      </c>
      <c r="AG19" s="384">
        <f t="shared" si="6"/>
        <v>31882.260237411352</v>
      </c>
      <c r="AH19" s="384">
        <f t="shared" si="6"/>
        <v>0</v>
      </c>
      <c r="AI19" s="384">
        <f t="shared" si="6"/>
        <v>0</v>
      </c>
      <c r="AJ19" s="384">
        <f t="shared" si="6"/>
        <v>0</v>
      </c>
      <c r="AK19" s="384">
        <f t="shared" si="6"/>
        <v>0</v>
      </c>
      <c r="AL19" s="384">
        <f t="shared" si="6"/>
        <v>0</v>
      </c>
      <c r="AM19" s="384">
        <f t="shared" si="6"/>
        <v>0</v>
      </c>
      <c r="AN19" s="384">
        <f t="shared" si="6"/>
        <v>0</v>
      </c>
      <c r="AO19" s="384">
        <f t="shared" si="6"/>
        <v>0</v>
      </c>
      <c r="AP19" s="384">
        <f t="shared" si="6"/>
        <v>0</v>
      </c>
      <c r="AQ19" s="384">
        <f t="shared" si="6"/>
        <v>0</v>
      </c>
      <c r="AR19" s="384">
        <f t="shared" si="6"/>
        <v>0</v>
      </c>
      <c r="AS19" s="384">
        <f t="shared" si="6"/>
        <v>0</v>
      </c>
      <c r="AT19" s="384">
        <f t="shared" si="6"/>
        <v>0</v>
      </c>
    </row>
    <row r="20" spans="1:46" x14ac:dyDescent="0.35">
      <c r="B20" s="1" t="s">
        <v>494</v>
      </c>
      <c r="C20" s="737">
        <f>COUNTIF(F20:AT20,"&lt;&gt;0")</f>
        <v>3</v>
      </c>
      <c r="E20" s="184">
        <f>SUM(F20:AT20)</f>
        <v>127529.04094964539</v>
      </c>
      <c r="F20" s="384">
        <f>IF(F$12&lt;$C$5,0,IF(AND(F$12&gt;$C$5,MOD(F$12-$C$5,$I6)=0),$H6,0))*F14</f>
        <v>0</v>
      </c>
      <c r="G20" s="384">
        <f t="shared" ref="G20:AT20" si="7">IF(G$12&lt;$C$5,0,IF(AND(G$12&gt;$C$5,MOD(G$12-$C$5,$I6)=0),$H6,0))*G14</f>
        <v>0</v>
      </c>
      <c r="H20" s="384">
        <f t="shared" si="7"/>
        <v>0</v>
      </c>
      <c r="I20" s="384">
        <f t="shared" si="7"/>
        <v>0</v>
      </c>
      <c r="J20" s="384">
        <f t="shared" si="7"/>
        <v>0</v>
      </c>
      <c r="K20" s="384">
        <f t="shared" si="7"/>
        <v>0</v>
      </c>
      <c r="L20" s="384">
        <f t="shared" si="7"/>
        <v>0</v>
      </c>
      <c r="M20" s="384">
        <f t="shared" si="7"/>
        <v>0</v>
      </c>
      <c r="N20" s="384">
        <f t="shared" si="7"/>
        <v>0</v>
      </c>
      <c r="O20" s="384">
        <f t="shared" si="7"/>
        <v>0</v>
      </c>
      <c r="P20" s="384">
        <f t="shared" si="7"/>
        <v>0</v>
      </c>
      <c r="Q20" s="384">
        <f t="shared" si="7"/>
        <v>0</v>
      </c>
      <c r="R20" s="384">
        <f t="shared" si="7"/>
        <v>0</v>
      </c>
      <c r="S20" s="384">
        <f t="shared" si="7"/>
        <v>0</v>
      </c>
      <c r="T20" s="384">
        <f t="shared" si="7"/>
        <v>0</v>
      </c>
      <c r="U20" s="384">
        <f t="shared" si="7"/>
        <v>42509.680316548467</v>
      </c>
      <c r="V20" s="384">
        <f t="shared" si="7"/>
        <v>0</v>
      </c>
      <c r="W20" s="384">
        <f t="shared" si="7"/>
        <v>0</v>
      </c>
      <c r="X20" s="384">
        <f t="shared" si="7"/>
        <v>0</v>
      </c>
      <c r="Y20" s="384">
        <f t="shared" si="7"/>
        <v>0</v>
      </c>
      <c r="Z20" s="384">
        <f t="shared" si="7"/>
        <v>0</v>
      </c>
      <c r="AA20" s="384">
        <f t="shared" si="7"/>
        <v>42509.680316548467</v>
      </c>
      <c r="AB20" s="384">
        <f t="shared" si="7"/>
        <v>0</v>
      </c>
      <c r="AC20" s="384">
        <f t="shared" si="7"/>
        <v>0</v>
      </c>
      <c r="AD20" s="384">
        <f t="shared" si="7"/>
        <v>0</v>
      </c>
      <c r="AE20" s="384">
        <f t="shared" si="7"/>
        <v>0</v>
      </c>
      <c r="AF20" s="384">
        <f t="shared" si="7"/>
        <v>0</v>
      </c>
      <c r="AG20" s="384">
        <f t="shared" si="7"/>
        <v>42509.680316548467</v>
      </c>
      <c r="AH20" s="384">
        <f t="shared" si="7"/>
        <v>0</v>
      </c>
      <c r="AI20" s="384">
        <f t="shared" si="7"/>
        <v>0</v>
      </c>
      <c r="AJ20" s="384">
        <f t="shared" si="7"/>
        <v>0</v>
      </c>
      <c r="AK20" s="384">
        <f t="shared" si="7"/>
        <v>0</v>
      </c>
      <c r="AL20" s="384">
        <f t="shared" si="7"/>
        <v>0</v>
      </c>
      <c r="AM20" s="384">
        <f t="shared" si="7"/>
        <v>0</v>
      </c>
      <c r="AN20" s="384">
        <f t="shared" si="7"/>
        <v>0</v>
      </c>
      <c r="AO20" s="384">
        <f t="shared" si="7"/>
        <v>0</v>
      </c>
      <c r="AP20" s="384">
        <f t="shared" si="7"/>
        <v>0</v>
      </c>
      <c r="AQ20" s="384">
        <f t="shared" si="7"/>
        <v>0</v>
      </c>
      <c r="AR20" s="384">
        <f t="shared" si="7"/>
        <v>0</v>
      </c>
      <c r="AS20" s="384">
        <f t="shared" si="7"/>
        <v>0</v>
      </c>
      <c r="AT20" s="384">
        <f t="shared" si="7"/>
        <v>0</v>
      </c>
    </row>
    <row r="21" spans="1:46" x14ac:dyDescent="0.35">
      <c r="B21" s="1" t="s">
        <v>496</v>
      </c>
      <c r="C21" s="737">
        <f>COUNTIF(F21:AT21,"&lt;&gt;0")</f>
        <v>2</v>
      </c>
      <c r="E21" s="184">
        <f>SUM(F21:AT21)</f>
        <v>21254.840158274234</v>
      </c>
      <c r="F21" s="384">
        <f>IF(F$12&lt;$C$5,0,IF(AND(F$12&gt;$C$5,MOD(F$12-$C$5,$I7)=0),$H7,0))*F14</f>
        <v>0</v>
      </c>
      <c r="G21" s="384">
        <f t="shared" ref="G21:AT21" si="8">IF(G$12&lt;$C$5,0,IF(AND(G$12&gt;$C$5,MOD(G$12-$C$5,$I7)=0),$H7,0))*G14</f>
        <v>0</v>
      </c>
      <c r="H21" s="384">
        <f t="shared" si="8"/>
        <v>0</v>
      </c>
      <c r="I21" s="384">
        <f t="shared" si="8"/>
        <v>0</v>
      </c>
      <c r="J21" s="384">
        <f t="shared" si="8"/>
        <v>0</v>
      </c>
      <c r="K21" s="384">
        <f t="shared" si="8"/>
        <v>0</v>
      </c>
      <c r="L21" s="384">
        <f t="shared" si="8"/>
        <v>0</v>
      </c>
      <c r="M21" s="384">
        <f t="shared" si="8"/>
        <v>0</v>
      </c>
      <c r="N21" s="384">
        <f t="shared" si="8"/>
        <v>0</v>
      </c>
      <c r="O21" s="384">
        <f t="shared" si="8"/>
        <v>0</v>
      </c>
      <c r="P21" s="384">
        <f t="shared" si="8"/>
        <v>0</v>
      </c>
      <c r="Q21" s="384">
        <f t="shared" si="8"/>
        <v>0</v>
      </c>
      <c r="R21" s="384">
        <f t="shared" si="8"/>
        <v>0</v>
      </c>
      <c r="S21" s="384">
        <f t="shared" si="8"/>
        <v>0</v>
      </c>
      <c r="T21" s="384">
        <f t="shared" si="8"/>
        <v>0</v>
      </c>
      <c r="U21" s="384">
        <f t="shared" si="8"/>
        <v>0</v>
      </c>
      <c r="V21" s="384">
        <f t="shared" si="8"/>
        <v>0</v>
      </c>
      <c r="W21" s="384">
        <f t="shared" si="8"/>
        <v>0</v>
      </c>
      <c r="X21" s="384">
        <f t="shared" si="8"/>
        <v>10627.420079137117</v>
      </c>
      <c r="Y21" s="384">
        <f t="shared" si="8"/>
        <v>0</v>
      </c>
      <c r="Z21" s="384">
        <f t="shared" si="8"/>
        <v>0</v>
      </c>
      <c r="AA21" s="384">
        <f t="shared" si="8"/>
        <v>0</v>
      </c>
      <c r="AB21" s="384">
        <f t="shared" si="8"/>
        <v>0</v>
      </c>
      <c r="AC21" s="384">
        <f t="shared" si="8"/>
        <v>0</v>
      </c>
      <c r="AD21" s="384">
        <f t="shared" si="8"/>
        <v>0</v>
      </c>
      <c r="AE21" s="384">
        <f t="shared" si="8"/>
        <v>0</v>
      </c>
      <c r="AF21" s="384">
        <f t="shared" si="8"/>
        <v>0</v>
      </c>
      <c r="AG21" s="384">
        <f t="shared" si="8"/>
        <v>10627.420079137117</v>
      </c>
      <c r="AH21" s="384">
        <f t="shared" si="8"/>
        <v>0</v>
      </c>
      <c r="AI21" s="384">
        <f t="shared" si="8"/>
        <v>0</v>
      </c>
      <c r="AJ21" s="384">
        <f t="shared" si="8"/>
        <v>0</v>
      </c>
      <c r="AK21" s="384">
        <f t="shared" si="8"/>
        <v>0</v>
      </c>
      <c r="AL21" s="384">
        <f t="shared" si="8"/>
        <v>0</v>
      </c>
      <c r="AM21" s="384">
        <f t="shared" si="8"/>
        <v>0</v>
      </c>
      <c r="AN21" s="384">
        <f t="shared" si="8"/>
        <v>0</v>
      </c>
      <c r="AO21" s="384">
        <f t="shared" si="8"/>
        <v>0</v>
      </c>
      <c r="AP21" s="384">
        <f t="shared" si="8"/>
        <v>0</v>
      </c>
      <c r="AQ21" s="384">
        <f t="shared" si="8"/>
        <v>0</v>
      </c>
      <c r="AR21" s="384">
        <f t="shared" si="8"/>
        <v>0</v>
      </c>
      <c r="AS21" s="384">
        <f t="shared" si="8"/>
        <v>0</v>
      </c>
      <c r="AT21" s="384">
        <f t="shared" si="8"/>
        <v>0</v>
      </c>
    </row>
    <row r="22" spans="1:46" x14ac:dyDescent="0.35">
      <c r="E22" s="90"/>
    </row>
    <row r="23" spans="1:46" x14ac:dyDescent="0.35">
      <c r="B23" t="s">
        <v>500</v>
      </c>
      <c r="E23" s="185">
        <f>SUM(F23:AJ23)</f>
        <v>-767463.39198291849</v>
      </c>
      <c r="F23" s="31">
        <f>SUM(F18:F21)*F14*$S$4</f>
        <v>0</v>
      </c>
      <c r="G23" s="31">
        <f t="shared" ref="G23:AT23" si="9">SUM(G18:G21)*G14*$S$4</f>
        <v>0</v>
      </c>
      <c r="H23" s="31">
        <f t="shared" si="9"/>
        <v>0</v>
      </c>
      <c r="I23" s="31">
        <f t="shared" si="9"/>
        <v>0</v>
      </c>
      <c r="J23" s="31">
        <f t="shared" si="9"/>
        <v>0</v>
      </c>
      <c r="K23" s="31">
        <f t="shared" si="9"/>
        <v>0</v>
      </c>
      <c r="L23" s="31">
        <f t="shared" si="9"/>
        <v>0</v>
      </c>
      <c r="M23" s="31">
        <f t="shared" si="9"/>
        <v>0</v>
      </c>
      <c r="N23" s="31">
        <f t="shared" si="9"/>
        <v>0</v>
      </c>
      <c r="O23" s="31">
        <f t="shared" si="9"/>
        <v>0</v>
      </c>
      <c r="P23" s="31">
        <f t="shared" si="9"/>
        <v>-22493.99733950162</v>
      </c>
      <c r="Q23" s="31">
        <f t="shared" si="9"/>
        <v>-22493.99733950162</v>
      </c>
      <c r="R23" s="31">
        <f t="shared" si="9"/>
        <v>-54376.257576912976</v>
      </c>
      <c r="S23" s="31">
        <f t="shared" si="9"/>
        <v>-22493.99733950162</v>
      </c>
      <c r="T23" s="31">
        <f t="shared" si="9"/>
        <v>-22493.99733950162</v>
      </c>
      <c r="U23" s="31">
        <f t="shared" si="9"/>
        <v>-96885.937893461436</v>
      </c>
      <c r="V23" s="31">
        <f t="shared" si="9"/>
        <v>-22493.99733950162</v>
      </c>
      <c r="W23" s="31">
        <f t="shared" si="9"/>
        <v>-22493.99733950162</v>
      </c>
      <c r="X23" s="31">
        <f t="shared" si="9"/>
        <v>-65003.677656050095</v>
      </c>
      <c r="Y23" s="31">
        <f t="shared" si="9"/>
        <v>-22493.99733950162</v>
      </c>
      <c r="Z23" s="31">
        <f t="shared" si="9"/>
        <v>-22493.99733950162</v>
      </c>
      <c r="AA23" s="31">
        <f t="shared" si="9"/>
        <v>-96885.937893461436</v>
      </c>
      <c r="AB23" s="31">
        <f t="shared" si="9"/>
        <v>-22493.99733950162</v>
      </c>
      <c r="AC23" s="31">
        <f t="shared" si="9"/>
        <v>-22493.99733950162</v>
      </c>
      <c r="AD23" s="31">
        <f t="shared" si="9"/>
        <v>-54376.257576912976</v>
      </c>
      <c r="AE23" s="31">
        <f t="shared" si="9"/>
        <v>-22493.99733950162</v>
      </c>
      <c r="AF23" s="31">
        <f t="shared" si="9"/>
        <v>-22493.99733950162</v>
      </c>
      <c r="AG23" s="31">
        <f t="shared" si="9"/>
        <v>-107513.35797259855</v>
      </c>
      <c r="AH23" s="31">
        <f t="shared" si="9"/>
        <v>-22493.99733950162</v>
      </c>
      <c r="AI23" s="31">
        <f t="shared" si="9"/>
        <v>0</v>
      </c>
      <c r="AJ23" s="31">
        <f t="shared" si="9"/>
        <v>0</v>
      </c>
      <c r="AK23" s="31">
        <f t="shared" si="9"/>
        <v>0</v>
      </c>
      <c r="AL23" s="31">
        <f t="shared" si="9"/>
        <v>0</v>
      </c>
      <c r="AM23" s="31">
        <f t="shared" si="9"/>
        <v>0</v>
      </c>
      <c r="AN23" s="31">
        <f t="shared" si="9"/>
        <v>0</v>
      </c>
      <c r="AO23" s="31">
        <f t="shared" si="9"/>
        <v>0</v>
      </c>
      <c r="AP23" s="31">
        <f t="shared" si="9"/>
        <v>0</v>
      </c>
      <c r="AQ23" s="31">
        <f t="shared" si="9"/>
        <v>0</v>
      </c>
      <c r="AR23" s="31">
        <f t="shared" si="9"/>
        <v>0</v>
      </c>
      <c r="AS23" s="31">
        <f t="shared" si="9"/>
        <v>0</v>
      </c>
      <c r="AT23" s="31">
        <f t="shared" si="9"/>
        <v>0</v>
      </c>
    </row>
    <row r="24" spans="1:46" ht="4.4000000000000004" customHeight="1" thickBot="1" x14ac:dyDescent="0.4">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row>
  </sheetData>
  <mergeCells count="5">
    <mergeCell ref="A2:B2"/>
    <mergeCell ref="A11:B11"/>
    <mergeCell ref="A12:B12"/>
    <mergeCell ref="A13:B13"/>
    <mergeCell ref="A14:B1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08DA4-CFD1-4C81-B82F-74E7EFB19496}">
  <sheetPr codeName="Sheet19">
    <tabColor theme="9" tint="-0.499984740745262"/>
  </sheetPr>
  <dimension ref="A1:AS37"/>
  <sheetViews>
    <sheetView topLeftCell="A7" workbookViewId="0">
      <selection activeCell="G19" sqref="G19:G20"/>
    </sheetView>
  </sheetViews>
  <sheetFormatPr defaultColWidth="8.54296875" defaultRowHeight="14.5" x14ac:dyDescent="0.35"/>
  <cols>
    <col min="1" max="1" width="0.54296875" customWidth="1"/>
    <col min="2" max="2" width="35.453125" customWidth="1"/>
    <col min="3" max="3" width="16" customWidth="1"/>
    <col min="4" max="4" width="17.453125" customWidth="1"/>
    <col min="5" max="5" width="16.453125" customWidth="1"/>
    <col min="6" max="6" width="20.54296875" customWidth="1"/>
    <col min="7" max="7" width="17.54296875" customWidth="1"/>
    <col min="8" max="8" width="21.453125" customWidth="1"/>
    <col min="9" max="9" width="13.81640625" customWidth="1"/>
    <col min="10" max="10" width="11.54296875" bestFit="1" customWidth="1"/>
    <col min="11" max="29" width="8.54296875" bestFit="1" customWidth="1"/>
    <col min="30" max="30" width="13.453125" customWidth="1"/>
    <col min="31" max="31" width="15.54296875" customWidth="1"/>
    <col min="32" max="32" width="13.54296875" bestFit="1" customWidth="1"/>
    <col min="33" max="33" width="17.54296875" customWidth="1"/>
    <col min="35" max="35" width="15.453125" customWidth="1"/>
    <col min="36" max="36" width="16.453125" customWidth="1"/>
    <col min="45" max="45" width="16.453125" customWidth="1"/>
  </cols>
  <sheetData>
    <row r="1" spans="1:42" x14ac:dyDescent="0.35">
      <c r="A1" s="1"/>
      <c r="B1" s="9" t="s">
        <v>322</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x14ac:dyDescent="0.35">
      <c r="A2" s="793"/>
      <c r="B2" s="793"/>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row>
    <row r="3" spans="1:42" x14ac:dyDescent="0.35">
      <c r="A3" s="1"/>
      <c r="B3" s="2" t="s">
        <v>35</v>
      </c>
      <c r="C3" s="2" t="s">
        <v>36</v>
      </c>
      <c r="D3" s="1"/>
      <c r="E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row>
    <row r="4" spans="1:42" x14ac:dyDescent="0.35">
      <c r="A4" s="1"/>
      <c r="B4" s="1" t="s">
        <v>37</v>
      </c>
      <c r="C4" s="1">
        <f>Inputs!D8</f>
        <v>2024</v>
      </c>
      <c r="D4" s="1"/>
      <c r="E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row>
    <row r="5" spans="1:42" x14ac:dyDescent="0.35">
      <c r="A5" s="1"/>
      <c r="B5" s="1" t="s">
        <v>38</v>
      </c>
      <c r="C5" s="1">
        <f>Inputs!D11</f>
        <v>2033</v>
      </c>
      <c r="D5" s="1"/>
      <c r="E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row>
    <row r="6" spans="1:42" x14ac:dyDescent="0.35">
      <c r="A6" s="1"/>
      <c r="B6" s="1" t="s">
        <v>39</v>
      </c>
      <c r="C6" s="1">
        <f>Inputs!D13</f>
        <v>2052</v>
      </c>
      <c r="D6" s="1"/>
      <c r="E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row>
    <row r="7" spans="1:42" x14ac:dyDescent="0.35">
      <c r="A7" s="1"/>
      <c r="B7" s="1" t="s">
        <v>40</v>
      </c>
      <c r="C7" s="1">
        <f>Inputs!D14</f>
        <v>20</v>
      </c>
      <c r="D7" s="1"/>
      <c r="E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row>
    <row r="8" spans="1:42" x14ac:dyDescent="0.35">
      <c r="A8" s="1"/>
      <c r="B8" s="1" t="s">
        <v>41</v>
      </c>
      <c r="C8" s="10">
        <f>Inputs!D15</f>
        <v>7.0000000000000007E-2</v>
      </c>
      <c r="D8" s="1"/>
      <c r="E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row>
    <row r="9" spans="1:42" ht="15" thickBot="1" x14ac:dyDescent="0.4">
      <c r="A9" s="4"/>
      <c r="B9" s="4"/>
      <c r="C9" s="4"/>
      <c r="D9" s="1"/>
      <c r="E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row>
    <row r="10" spans="1:42" ht="4.4000000000000004" customHeight="1" x14ac:dyDescent="0.35">
      <c r="A10" s="793"/>
      <c r="B10" s="793"/>
      <c r="C10" s="1"/>
      <c r="D10" s="1"/>
      <c r="E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row>
    <row r="11" spans="1:42" x14ac:dyDescent="0.35">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row>
    <row r="12" spans="1:42" x14ac:dyDescent="0.3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row>
    <row r="13" spans="1:42" x14ac:dyDescent="0.3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row>
    <row r="14" spans="1:42" s="55" customFormat="1" ht="29" x14ac:dyDescent="0.35">
      <c r="A14" s="167"/>
      <c r="B14" s="749" t="s">
        <v>501</v>
      </c>
      <c r="C14" s="750" t="s">
        <v>502</v>
      </c>
      <c r="D14" s="751" t="s">
        <v>503</v>
      </c>
      <c r="E14" s="752" t="s">
        <v>504</v>
      </c>
      <c r="F14" s="188"/>
      <c r="H14" s="750" t="s">
        <v>505</v>
      </c>
      <c r="I14" s="752" t="s">
        <v>223</v>
      </c>
      <c r="J14" s="752" t="s">
        <v>506</v>
      </c>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row>
    <row r="15" spans="1:42" s="55" customFormat="1" x14ac:dyDescent="0.35">
      <c r="A15" s="167"/>
      <c r="B15" s="579" t="str">
        <f>'West Yard Cost'!B24</f>
        <v>F &amp; I Storm Drains</v>
      </c>
      <c r="C15" s="579" t="s">
        <v>507</v>
      </c>
      <c r="D15" s="579">
        <v>40</v>
      </c>
      <c r="E15" s="581">
        <f>D15-$C$7</f>
        <v>20</v>
      </c>
      <c r="F15" s="684" t="s">
        <v>508</v>
      </c>
      <c r="H15" s="582">
        <f>'West Yard Cost'!F24*$J$15</f>
        <v>1616967.0423624213</v>
      </c>
      <c r="I15" s="583">
        <f t="shared" ref="I15:I25" si="0">(H15/D15)*E15</f>
        <v>808483.52118121064</v>
      </c>
      <c r="J15" s="672">
        <f>Inflation!$CX$9</f>
        <v>0.95340037875142758</v>
      </c>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row>
    <row r="16" spans="1:42" s="55" customFormat="1" ht="29" x14ac:dyDescent="0.35">
      <c r="A16" s="167"/>
      <c r="B16" s="579" t="str">
        <f>'West Yard Cost'!B31</f>
        <v xml:space="preserve">Construct Track (136# Rail, Wood Ties, OTM) </v>
      </c>
      <c r="C16" s="579" t="s">
        <v>507</v>
      </c>
      <c r="D16" s="579">
        <f>AVERAGE(35,40)</f>
        <v>37.5</v>
      </c>
      <c r="E16" s="581">
        <f t="shared" ref="E16:E24" si="1">D16-$C$7</f>
        <v>17.5</v>
      </c>
      <c r="F16" s="188"/>
      <c r="H16" s="582">
        <f>'West Yard Cost'!F31*$J$15</f>
        <v>5473029.1966362046</v>
      </c>
      <c r="I16" s="583">
        <f t="shared" si="0"/>
        <v>2554080.2917635622</v>
      </c>
      <c r="J16" s="167"/>
      <c r="K16" s="167"/>
      <c r="L16" s="167"/>
      <c r="M16" s="167"/>
      <c r="N16" s="167"/>
      <c r="O16" s="167"/>
      <c r="P16" s="167"/>
      <c r="Q16" s="167"/>
      <c r="R16" s="167"/>
      <c r="S16" s="167"/>
      <c r="T16" s="167"/>
      <c r="U16" s="167"/>
      <c r="V16" s="167"/>
      <c r="W16" s="167"/>
      <c r="X16" s="167"/>
      <c r="Y16" s="167"/>
      <c r="Z16" s="167"/>
      <c r="AA16" s="167"/>
      <c r="AB16" s="167"/>
      <c r="AC16" s="167"/>
      <c r="AD16" s="167"/>
      <c r="AE16" s="167"/>
      <c r="AF16" s="167"/>
      <c r="AG16" s="167"/>
      <c r="AH16" s="167"/>
      <c r="AI16" s="167"/>
      <c r="AJ16" s="167"/>
      <c r="AK16" s="167"/>
      <c r="AL16" s="167"/>
      <c r="AM16" s="167"/>
      <c r="AN16" s="167"/>
      <c r="AO16" s="167"/>
      <c r="AP16" s="167"/>
    </row>
    <row r="17" spans="1:45" s="55" customFormat="1" x14ac:dyDescent="0.35">
      <c r="A17" s="167"/>
      <c r="B17" s="579" t="str">
        <f>'West Yard Cost'!B32</f>
        <v>F&amp; I Ballast</v>
      </c>
      <c r="C17" s="579" t="s">
        <v>507</v>
      </c>
      <c r="D17" s="579">
        <f>AVERAGE(20,25)</f>
        <v>22.5</v>
      </c>
      <c r="E17" s="581">
        <f t="shared" si="1"/>
        <v>2.5</v>
      </c>
      <c r="F17" s="188"/>
      <c r="H17" s="582">
        <f>'West Yard Cost'!F32*$J$15</f>
        <v>264626.76252662501</v>
      </c>
      <c r="I17" s="583">
        <f t="shared" si="0"/>
        <v>29402.973614069448</v>
      </c>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row>
    <row r="18" spans="1:45" s="55" customFormat="1" x14ac:dyDescent="0.35">
      <c r="A18" s="167"/>
      <c r="B18" s="579" t="str">
        <f>'West Yard Cost'!B33</f>
        <v>F &amp; I Sub ballast</v>
      </c>
      <c r="C18" s="579" t="s">
        <v>507</v>
      </c>
      <c r="D18" s="579">
        <f>AVERAGE(45,50)</f>
        <v>47.5</v>
      </c>
      <c r="E18" s="581">
        <f t="shared" si="1"/>
        <v>27.5</v>
      </c>
      <c r="F18" s="188"/>
      <c r="H18" s="582">
        <f>'West Yard Cost'!F33*$J$15</f>
        <v>173186.26567662862</v>
      </c>
      <c r="I18" s="583">
        <f t="shared" si="0"/>
        <v>100265.73276015342</v>
      </c>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row>
    <row r="19" spans="1:45" s="55" customFormat="1" x14ac:dyDescent="0.35">
      <c r="A19" s="167"/>
      <c r="B19" s="579" t="str">
        <f>'West Yard Cost'!B37</f>
        <v>F &amp; I # 10 LH Turnout</v>
      </c>
      <c r="C19" s="579" t="s">
        <v>507</v>
      </c>
      <c r="D19" s="579">
        <f>25</f>
        <v>25</v>
      </c>
      <c r="E19" s="581">
        <f t="shared" si="1"/>
        <v>5</v>
      </c>
      <c r="F19" s="188"/>
      <c r="H19" s="582">
        <f>'West Yard Cost'!F37*$J$15</f>
        <v>626574.72891543817</v>
      </c>
      <c r="I19" s="583">
        <f t="shared" si="0"/>
        <v>125314.94578308763</v>
      </c>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row>
    <row r="20" spans="1:45" s="55" customFormat="1" x14ac:dyDescent="0.35">
      <c r="A20" s="167"/>
      <c r="B20" s="579" t="str">
        <f>'East Yard Cost'!B33</f>
        <v>F &amp; I Storm Drains</v>
      </c>
      <c r="C20" s="579" t="s">
        <v>509</v>
      </c>
      <c r="D20" s="579">
        <f>AVERAGE(40,25)</f>
        <v>32.5</v>
      </c>
      <c r="E20" s="581">
        <v>20</v>
      </c>
      <c r="F20" s="188"/>
      <c r="H20" s="582">
        <f>'East Yard Cost'!F33*$J$15</f>
        <v>2526511.0036912831</v>
      </c>
      <c r="I20" s="584">
        <f t="shared" si="0"/>
        <v>1554776.0022715586</v>
      </c>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row>
    <row r="21" spans="1:45" s="55" customFormat="1" ht="29" x14ac:dyDescent="0.35">
      <c r="A21" s="167"/>
      <c r="B21" s="579" t="str">
        <f>'East Yard Cost'!B40</f>
        <v xml:space="preserve">Construct Track (136# Rail, Wood Ties, OTM) </v>
      </c>
      <c r="C21" s="579" t="s">
        <v>509</v>
      </c>
      <c r="D21" s="579">
        <f>AVERAGE(35,40)</f>
        <v>37.5</v>
      </c>
      <c r="E21" s="581">
        <f t="shared" si="1"/>
        <v>17.5</v>
      </c>
      <c r="F21" s="188"/>
      <c r="H21" s="582">
        <f>'East Yard Cost'!F40*$J$15</f>
        <v>7361242.4603549223</v>
      </c>
      <c r="I21" s="583">
        <f t="shared" si="0"/>
        <v>3435246.4814989637</v>
      </c>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row>
    <row r="22" spans="1:45" s="55" customFormat="1" x14ac:dyDescent="0.35">
      <c r="A22" s="167"/>
      <c r="B22" s="579" t="str">
        <f>'East Yard Cost'!B41</f>
        <v>F&amp; I Ballast</v>
      </c>
      <c r="C22" s="579" t="s">
        <v>509</v>
      </c>
      <c r="D22" s="579">
        <f>AVERAGE(20,25)</f>
        <v>22.5</v>
      </c>
      <c r="E22" s="581">
        <f t="shared" si="1"/>
        <v>2.5</v>
      </c>
      <c r="F22" s="188"/>
      <c r="H22" s="582">
        <f>'East Yard Cost'!F41*$J$15</f>
        <v>377309.15329125623</v>
      </c>
      <c r="I22" s="583">
        <f t="shared" si="0"/>
        <v>41923.239254584027</v>
      </c>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row>
    <row r="23" spans="1:45" s="55" customFormat="1" x14ac:dyDescent="0.35">
      <c r="A23" s="167"/>
      <c r="B23" s="579" t="str">
        <f>'East Yard Cost'!B42</f>
        <v>F &amp; I Sub ballast</v>
      </c>
      <c r="C23" s="579" t="s">
        <v>509</v>
      </c>
      <c r="D23" s="579">
        <f>AVERAGE(45,50)</f>
        <v>47.5</v>
      </c>
      <c r="E23" s="581">
        <f t="shared" si="1"/>
        <v>27.5</v>
      </c>
      <c r="F23" s="188"/>
      <c r="H23" s="582">
        <f>'East Yard Cost'!F42*$J$15</f>
        <v>261239.21657287571</v>
      </c>
      <c r="I23" s="583">
        <f t="shared" si="0"/>
        <v>151243.75696324382</v>
      </c>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row>
    <row r="24" spans="1:45" s="55" customFormat="1" x14ac:dyDescent="0.35">
      <c r="A24" s="167">
        <v>25</v>
      </c>
      <c r="B24" s="579" t="str">
        <f>'East Yard Cost'!B46</f>
        <v>F &amp; I # 10 LH Turnout</v>
      </c>
      <c r="C24" s="579" t="s">
        <v>509</v>
      </c>
      <c r="D24" s="579">
        <v>25</v>
      </c>
      <c r="E24" s="581">
        <f t="shared" si="1"/>
        <v>5</v>
      </c>
      <c r="F24" s="188"/>
      <c r="H24" s="582">
        <f>'East Yard Cost'!F46*$J$15</f>
        <v>1096505.7756020168</v>
      </c>
      <c r="I24" s="583">
        <f t="shared" si="0"/>
        <v>219301.15512040339</v>
      </c>
      <c r="J24" s="167"/>
      <c r="K24" s="167"/>
      <c r="L24" s="167"/>
      <c r="M24" s="167"/>
      <c r="N24" s="167"/>
      <c r="O24" s="167"/>
      <c r="P24" s="167"/>
      <c r="Q24" s="167"/>
      <c r="R24" s="167"/>
      <c r="S24" s="167"/>
      <c r="T24" s="167"/>
      <c r="U24" s="167"/>
      <c r="V24" s="167"/>
      <c r="W24" s="167"/>
      <c r="X24" s="167"/>
      <c r="Y24" s="167"/>
      <c r="Z24" s="167"/>
      <c r="AA24" s="167"/>
      <c r="AB24" s="167"/>
      <c r="AC24" s="167"/>
      <c r="AD24" s="167"/>
      <c r="AE24" s="167"/>
      <c r="AF24" s="167"/>
      <c r="AG24" s="167"/>
      <c r="AH24" s="167"/>
      <c r="AI24" s="167"/>
      <c r="AJ24" s="167"/>
      <c r="AK24" s="167"/>
      <c r="AL24" s="167"/>
      <c r="AM24" s="167"/>
      <c r="AN24" s="167"/>
      <c r="AO24" s="167"/>
      <c r="AP24" s="167"/>
    </row>
    <row r="25" spans="1:45" s="55" customFormat="1" ht="15" thickBot="1" x14ac:dyDescent="0.4">
      <c r="A25" s="167"/>
      <c r="B25" s="579" t="str">
        <f>'East Yard Cost'!B47</f>
        <v>F &amp; I # 10 RH Turnout</v>
      </c>
      <c r="C25" s="579" t="s">
        <v>509</v>
      </c>
      <c r="D25" s="579">
        <v>25</v>
      </c>
      <c r="E25" s="581">
        <f>D25-$C$7</f>
        <v>5</v>
      </c>
      <c r="F25" s="188"/>
      <c r="H25" s="753">
        <f>'East Yard Cost'!F47*$J$15</f>
        <v>939862.09337315732</v>
      </c>
      <c r="I25" s="754">
        <f t="shared" si="0"/>
        <v>187972.41867463148</v>
      </c>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row>
    <row r="26" spans="1:45" ht="15" thickBot="1" x14ac:dyDescent="0.4">
      <c r="A26" s="1"/>
      <c r="B26" s="588" t="s">
        <v>510</v>
      </c>
      <c r="C26" s="14"/>
      <c r="D26" s="25"/>
      <c r="E26" s="643"/>
      <c r="G26" s="585" t="s">
        <v>511</v>
      </c>
      <c r="H26" s="586">
        <f>SUM(H15:H25)</f>
        <v>20717053.699002828</v>
      </c>
      <c r="I26" s="587">
        <f>SUM(I15:I25)</f>
        <v>9208010.5188854672</v>
      </c>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row>
    <row r="27" spans="1:45" x14ac:dyDescent="0.35">
      <c r="A27" s="1"/>
      <c r="C27" s="53"/>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row>
    <row r="28" spans="1:45"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row>
    <row r="29" spans="1:45" x14ac:dyDescent="0.35">
      <c r="A29" s="1"/>
      <c r="B29" s="1"/>
      <c r="C29" s="1"/>
      <c r="D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row>
    <row r="30" spans="1:45" x14ac:dyDescent="0.35">
      <c r="A30" s="794" t="s">
        <v>42</v>
      </c>
      <c r="B30" s="794"/>
      <c r="C30" s="2"/>
      <c r="D30" s="2"/>
      <c r="E30" s="2"/>
      <c r="F30" s="2">
        <f>C4</f>
        <v>2024</v>
      </c>
      <c r="G30" s="2">
        <f>F30+1</f>
        <v>2025</v>
      </c>
      <c r="H30" s="2">
        <f t="shared" ref="H30:AS30" si="2">G30+1</f>
        <v>2026</v>
      </c>
      <c r="I30" s="2">
        <f t="shared" si="2"/>
        <v>2027</v>
      </c>
      <c r="J30" s="2">
        <f t="shared" si="2"/>
        <v>2028</v>
      </c>
      <c r="K30" s="2">
        <f t="shared" si="2"/>
        <v>2029</v>
      </c>
      <c r="L30" s="2">
        <f t="shared" si="2"/>
        <v>2030</v>
      </c>
      <c r="M30" s="2">
        <f t="shared" si="2"/>
        <v>2031</v>
      </c>
      <c r="N30" s="2">
        <f t="shared" si="2"/>
        <v>2032</v>
      </c>
      <c r="O30" s="2">
        <f t="shared" si="2"/>
        <v>2033</v>
      </c>
      <c r="P30" s="2">
        <f t="shared" si="2"/>
        <v>2034</v>
      </c>
      <c r="Q30" s="2">
        <f t="shared" si="2"/>
        <v>2035</v>
      </c>
      <c r="R30" s="2">
        <f t="shared" si="2"/>
        <v>2036</v>
      </c>
      <c r="S30" s="2">
        <f t="shared" si="2"/>
        <v>2037</v>
      </c>
      <c r="T30" s="2">
        <f t="shared" si="2"/>
        <v>2038</v>
      </c>
      <c r="U30" s="2">
        <f t="shared" si="2"/>
        <v>2039</v>
      </c>
      <c r="V30" s="2">
        <f t="shared" si="2"/>
        <v>2040</v>
      </c>
      <c r="W30" s="2">
        <f t="shared" si="2"/>
        <v>2041</v>
      </c>
      <c r="X30" s="2">
        <f t="shared" si="2"/>
        <v>2042</v>
      </c>
      <c r="Y30" s="2">
        <f t="shared" si="2"/>
        <v>2043</v>
      </c>
      <c r="Z30" s="2">
        <f t="shared" si="2"/>
        <v>2044</v>
      </c>
      <c r="AA30" s="2">
        <f t="shared" si="2"/>
        <v>2045</v>
      </c>
      <c r="AB30" s="2">
        <f t="shared" si="2"/>
        <v>2046</v>
      </c>
      <c r="AC30" s="2">
        <f t="shared" si="2"/>
        <v>2047</v>
      </c>
      <c r="AD30" s="2">
        <f t="shared" si="2"/>
        <v>2048</v>
      </c>
      <c r="AE30" s="2">
        <f t="shared" si="2"/>
        <v>2049</v>
      </c>
      <c r="AF30" s="2">
        <f t="shared" si="2"/>
        <v>2050</v>
      </c>
      <c r="AG30" s="2">
        <f t="shared" si="2"/>
        <v>2051</v>
      </c>
      <c r="AH30" s="2">
        <f t="shared" si="2"/>
        <v>2052</v>
      </c>
      <c r="AI30" s="2">
        <f t="shared" si="2"/>
        <v>2053</v>
      </c>
      <c r="AJ30" s="2">
        <f t="shared" si="2"/>
        <v>2054</v>
      </c>
      <c r="AK30" s="2">
        <f t="shared" si="2"/>
        <v>2055</v>
      </c>
      <c r="AL30" s="2">
        <f t="shared" si="2"/>
        <v>2056</v>
      </c>
      <c r="AM30" s="2">
        <f t="shared" si="2"/>
        <v>2057</v>
      </c>
      <c r="AN30" s="2">
        <f t="shared" si="2"/>
        <v>2058</v>
      </c>
      <c r="AO30" s="2">
        <f t="shared" si="2"/>
        <v>2059</v>
      </c>
      <c r="AP30" s="2">
        <f t="shared" si="2"/>
        <v>2060</v>
      </c>
      <c r="AQ30" s="2">
        <f t="shared" si="2"/>
        <v>2061</v>
      </c>
      <c r="AR30" s="2">
        <f t="shared" si="2"/>
        <v>2062</v>
      </c>
      <c r="AS30" s="2">
        <f t="shared" si="2"/>
        <v>2063</v>
      </c>
    </row>
    <row r="31" spans="1:45" ht="16.399999999999999" customHeight="1" x14ac:dyDescent="0.35">
      <c r="A31" s="794" t="s">
        <v>286</v>
      </c>
      <c r="B31" s="794"/>
      <c r="C31" s="1"/>
      <c r="D31" s="1"/>
      <c r="E31" s="1"/>
      <c r="F31" s="11">
        <f t="shared" ref="F31:AJ31" si="3">IF(F30="","",1/((1+$C$8)^(F30-$C$4)))</f>
        <v>1</v>
      </c>
      <c r="G31" s="11">
        <f t="shared" si="3"/>
        <v>0.93457943925233644</v>
      </c>
      <c r="H31" s="11">
        <f t="shared" si="3"/>
        <v>0.87343872827321156</v>
      </c>
      <c r="I31" s="11">
        <f t="shared" si="3"/>
        <v>0.81629787689085187</v>
      </c>
      <c r="J31" s="11">
        <f t="shared" si="3"/>
        <v>0.7628952120475252</v>
      </c>
      <c r="K31" s="11">
        <f t="shared" si="3"/>
        <v>0.71298617948366838</v>
      </c>
      <c r="L31" s="11">
        <f t="shared" si="3"/>
        <v>0.66634222381651254</v>
      </c>
      <c r="M31" s="11">
        <f t="shared" si="3"/>
        <v>0.62274974188459109</v>
      </c>
      <c r="N31" s="11">
        <f t="shared" si="3"/>
        <v>0.5820091045650384</v>
      </c>
      <c r="O31" s="11">
        <f t="shared" si="3"/>
        <v>0.54393374258414806</v>
      </c>
      <c r="P31" s="11">
        <f t="shared" si="3"/>
        <v>0.5083492921347178</v>
      </c>
      <c r="Q31" s="11">
        <f t="shared" si="3"/>
        <v>0.47509279638758667</v>
      </c>
      <c r="R31" s="11">
        <f t="shared" si="3"/>
        <v>0.44401195924073528</v>
      </c>
      <c r="S31" s="11">
        <f t="shared" si="3"/>
        <v>0.41496444788853759</v>
      </c>
      <c r="T31" s="11">
        <f t="shared" si="3"/>
        <v>0.3878172410173249</v>
      </c>
      <c r="U31" s="11">
        <f t="shared" si="3"/>
        <v>0.36244601964235967</v>
      </c>
      <c r="V31" s="11">
        <f t="shared" si="3"/>
        <v>0.33873459779659787</v>
      </c>
      <c r="W31" s="11">
        <f t="shared" si="3"/>
        <v>0.31657439046411018</v>
      </c>
      <c r="X31" s="11">
        <f t="shared" si="3"/>
        <v>0.29586391632159825</v>
      </c>
      <c r="Y31" s="11">
        <f t="shared" si="3"/>
        <v>0.27650833301083949</v>
      </c>
      <c r="Z31" s="11">
        <f t="shared" si="3"/>
        <v>0.2584190028138687</v>
      </c>
      <c r="AA31" s="11">
        <f t="shared" si="3"/>
        <v>0.24151308674193336</v>
      </c>
      <c r="AB31" s="11">
        <f t="shared" si="3"/>
        <v>0.22571316517937698</v>
      </c>
      <c r="AC31" s="11">
        <f t="shared" si="3"/>
        <v>0.21094688334521211</v>
      </c>
      <c r="AD31" s="11">
        <f t="shared" si="3"/>
        <v>0.19714661994879637</v>
      </c>
      <c r="AE31" s="11">
        <f t="shared" si="3"/>
        <v>0.18424917752223957</v>
      </c>
      <c r="AF31" s="11">
        <f t="shared" si="3"/>
        <v>0.17219549301143888</v>
      </c>
      <c r="AG31" s="11">
        <f t="shared" si="3"/>
        <v>0.16093036730041013</v>
      </c>
      <c r="AH31" s="11">
        <f t="shared" si="3"/>
        <v>0.15040221243028987</v>
      </c>
      <c r="AI31" s="11">
        <f t="shared" si="3"/>
        <v>0.1405628153554111</v>
      </c>
      <c r="AJ31" s="11">
        <f t="shared" si="3"/>
        <v>0.13136711715458982</v>
      </c>
      <c r="AK31" s="11">
        <f t="shared" ref="AK31:AS31" si="4">IF(AK30="","",1/((1+$C$8)^(AK30-$C$4)))</f>
        <v>0.1227730066865325</v>
      </c>
      <c r="AL31" s="11">
        <f t="shared" si="4"/>
        <v>0.11474112774442291</v>
      </c>
      <c r="AM31" s="11">
        <f t="shared" si="4"/>
        <v>0.10723469882656347</v>
      </c>
      <c r="AN31" s="11">
        <f t="shared" si="4"/>
        <v>0.10021934469772288</v>
      </c>
      <c r="AO31" s="11">
        <f t="shared" si="4"/>
        <v>9.366293896983445E-2</v>
      </c>
      <c r="AP31" s="11">
        <f t="shared" si="4"/>
        <v>8.7535456981153698E-2</v>
      </c>
      <c r="AQ31" s="11">
        <f t="shared" si="4"/>
        <v>8.1808838300143641E-2</v>
      </c>
      <c r="AR31" s="11">
        <f t="shared" si="4"/>
        <v>7.6456858224433308E-2</v>
      </c>
      <c r="AS31" s="11">
        <f t="shared" si="4"/>
        <v>7.1455007686386268E-2</v>
      </c>
    </row>
    <row r="32" spans="1:45" x14ac:dyDescent="0.35">
      <c r="A32" s="794" t="s">
        <v>44</v>
      </c>
      <c r="B32" s="794"/>
      <c r="F32">
        <f t="shared" ref="F32:AG32" si="5">IF(AND(F30&gt;=$C$5,F30&lt;=$C$6),1,0)</f>
        <v>0</v>
      </c>
      <c r="G32">
        <f t="shared" si="5"/>
        <v>0</v>
      </c>
      <c r="H32">
        <f t="shared" si="5"/>
        <v>0</v>
      </c>
      <c r="I32">
        <f t="shared" si="5"/>
        <v>0</v>
      </c>
      <c r="J32">
        <f t="shared" si="5"/>
        <v>0</v>
      </c>
      <c r="K32">
        <f t="shared" si="5"/>
        <v>0</v>
      </c>
      <c r="L32">
        <f t="shared" si="5"/>
        <v>0</v>
      </c>
      <c r="M32">
        <f t="shared" si="5"/>
        <v>0</v>
      </c>
      <c r="N32">
        <f t="shared" si="5"/>
        <v>0</v>
      </c>
      <c r="O32">
        <f t="shared" si="5"/>
        <v>1</v>
      </c>
      <c r="P32">
        <f t="shared" si="5"/>
        <v>1</v>
      </c>
      <c r="Q32">
        <f t="shared" si="5"/>
        <v>1</v>
      </c>
      <c r="R32">
        <f t="shared" si="5"/>
        <v>1</v>
      </c>
      <c r="S32">
        <f t="shared" si="5"/>
        <v>1</v>
      </c>
      <c r="T32">
        <f t="shared" si="5"/>
        <v>1</v>
      </c>
      <c r="U32">
        <f t="shared" si="5"/>
        <v>1</v>
      </c>
      <c r="V32">
        <f t="shared" si="5"/>
        <v>1</v>
      </c>
      <c r="W32">
        <f t="shared" si="5"/>
        <v>1</v>
      </c>
      <c r="X32">
        <f t="shared" si="5"/>
        <v>1</v>
      </c>
      <c r="Y32">
        <f t="shared" si="5"/>
        <v>1</v>
      </c>
      <c r="Z32">
        <f t="shared" si="5"/>
        <v>1</v>
      </c>
      <c r="AA32">
        <f t="shared" si="5"/>
        <v>1</v>
      </c>
      <c r="AB32">
        <f t="shared" si="5"/>
        <v>1</v>
      </c>
      <c r="AC32">
        <f t="shared" si="5"/>
        <v>1</v>
      </c>
      <c r="AD32">
        <f t="shared" si="5"/>
        <v>1</v>
      </c>
      <c r="AE32">
        <f t="shared" si="5"/>
        <v>1</v>
      </c>
      <c r="AF32">
        <f t="shared" si="5"/>
        <v>1</v>
      </c>
      <c r="AG32">
        <f t="shared" si="5"/>
        <v>1</v>
      </c>
      <c r="AH32">
        <f>IF(AND(AH30&gt;=$C$5,AH30&lt;=$C$6),1,0)</f>
        <v>1</v>
      </c>
      <c r="AI32">
        <f>IF(AND(AI30&gt;=$C$5,AI30&lt;=$C$6),1,0)</f>
        <v>0</v>
      </c>
      <c r="AJ32">
        <f>IF(AND(AJ30&gt;=$C$5,AJ30&lt;=$C$6),1,0)</f>
        <v>0</v>
      </c>
      <c r="AK32">
        <f t="shared" ref="AK32:AS32" si="6">IF(AND(AK30&gt;=$C$5,AK30&lt;=$C$6),1,0)</f>
        <v>0</v>
      </c>
      <c r="AL32">
        <f t="shared" si="6"/>
        <v>0</v>
      </c>
      <c r="AM32">
        <f t="shared" si="6"/>
        <v>0</v>
      </c>
      <c r="AN32">
        <f t="shared" si="6"/>
        <v>0</v>
      </c>
      <c r="AO32">
        <f t="shared" si="6"/>
        <v>0</v>
      </c>
      <c r="AP32">
        <f t="shared" si="6"/>
        <v>0</v>
      </c>
      <c r="AQ32">
        <f t="shared" si="6"/>
        <v>0</v>
      </c>
      <c r="AR32">
        <f t="shared" si="6"/>
        <v>0</v>
      </c>
      <c r="AS32">
        <f t="shared" si="6"/>
        <v>0</v>
      </c>
    </row>
    <row r="33" spans="1:45" ht="4.4000000000000004" customHeight="1" thickBot="1" x14ac:dyDescent="0.4">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row>
    <row r="34" spans="1:45" x14ac:dyDescent="0.35">
      <c r="E34" s="7" t="s">
        <v>46</v>
      </c>
    </row>
    <row r="35" spans="1:45" x14ac:dyDescent="0.35">
      <c r="B35" t="s">
        <v>512</v>
      </c>
      <c r="E35" s="184">
        <f>SUM(F35:AJ35)</f>
        <v>9208010.5188854672</v>
      </c>
      <c r="F35" s="23">
        <f t="shared" ref="F35:AS35" si="7">IF(F$30="","",IF(F$30=$C$6,$I$26,0))</f>
        <v>0</v>
      </c>
      <c r="G35" s="23">
        <f t="shared" si="7"/>
        <v>0</v>
      </c>
      <c r="H35" s="23">
        <f t="shared" si="7"/>
        <v>0</v>
      </c>
      <c r="I35" s="23">
        <f t="shared" si="7"/>
        <v>0</v>
      </c>
      <c r="J35" s="23">
        <f t="shared" si="7"/>
        <v>0</v>
      </c>
      <c r="K35" s="23">
        <f t="shared" si="7"/>
        <v>0</v>
      </c>
      <c r="L35" s="23">
        <f t="shared" si="7"/>
        <v>0</v>
      </c>
      <c r="M35" s="23">
        <f t="shared" si="7"/>
        <v>0</v>
      </c>
      <c r="N35" s="23">
        <f t="shared" si="7"/>
        <v>0</v>
      </c>
      <c r="O35" s="23">
        <f t="shared" si="7"/>
        <v>0</v>
      </c>
      <c r="P35" s="23">
        <f t="shared" si="7"/>
        <v>0</v>
      </c>
      <c r="Q35" s="23">
        <f t="shared" si="7"/>
        <v>0</v>
      </c>
      <c r="R35" s="23">
        <f t="shared" si="7"/>
        <v>0</v>
      </c>
      <c r="S35" s="23">
        <f t="shared" si="7"/>
        <v>0</v>
      </c>
      <c r="T35" s="23">
        <f t="shared" si="7"/>
        <v>0</v>
      </c>
      <c r="U35" s="23">
        <f t="shared" si="7"/>
        <v>0</v>
      </c>
      <c r="V35" s="23">
        <f t="shared" si="7"/>
        <v>0</v>
      </c>
      <c r="W35" s="23">
        <f t="shared" si="7"/>
        <v>0</v>
      </c>
      <c r="X35" s="23">
        <f t="shared" si="7"/>
        <v>0</v>
      </c>
      <c r="Y35" s="23">
        <f t="shared" si="7"/>
        <v>0</v>
      </c>
      <c r="Z35" s="23">
        <f t="shared" si="7"/>
        <v>0</v>
      </c>
      <c r="AA35" s="23">
        <f t="shared" si="7"/>
        <v>0</v>
      </c>
      <c r="AB35" s="23">
        <f t="shared" si="7"/>
        <v>0</v>
      </c>
      <c r="AC35" s="23">
        <f t="shared" si="7"/>
        <v>0</v>
      </c>
      <c r="AD35" s="23">
        <f t="shared" si="7"/>
        <v>0</v>
      </c>
      <c r="AE35" s="23">
        <f t="shared" si="7"/>
        <v>0</v>
      </c>
      <c r="AF35" s="23">
        <f t="shared" si="7"/>
        <v>0</v>
      </c>
      <c r="AG35" s="23">
        <f t="shared" si="7"/>
        <v>0</v>
      </c>
      <c r="AH35" s="23">
        <f t="shared" si="7"/>
        <v>9208010.5188854672</v>
      </c>
      <c r="AI35" s="23">
        <f t="shared" si="7"/>
        <v>0</v>
      </c>
      <c r="AJ35" s="23">
        <f t="shared" si="7"/>
        <v>0</v>
      </c>
      <c r="AK35" s="23">
        <f t="shared" si="7"/>
        <v>0</v>
      </c>
      <c r="AL35" s="23">
        <f t="shared" si="7"/>
        <v>0</v>
      </c>
      <c r="AM35" s="23">
        <f t="shared" si="7"/>
        <v>0</v>
      </c>
      <c r="AN35" s="23">
        <f t="shared" si="7"/>
        <v>0</v>
      </c>
      <c r="AO35" s="23">
        <f t="shared" si="7"/>
        <v>0</v>
      </c>
      <c r="AP35" s="23">
        <f t="shared" si="7"/>
        <v>0</v>
      </c>
      <c r="AQ35" s="23">
        <f t="shared" si="7"/>
        <v>0</v>
      </c>
      <c r="AR35" s="23">
        <f t="shared" si="7"/>
        <v>0</v>
      </c>
      <c r="AS35" s="23">
        <f t="shared" si="7"/>
        <v>0</v>
      </c>
    </row>
    <row r="37" spans="1:45" ht="4.4000000000000004" customHeight="1" thickBot="1" x14ac:dyDescent="0.4">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row>
  </sheetData>
  <mergeCells count="5">
    <mergeCell ref="A2:B2"/>
    <mergeCell ref="A10:B10"/>
    <mergeCell ref="A30:B30"/>
    <mergeCell ref="A31:B31"/>
    <mergeCell ref="A32:B3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66F20-71FF-4E3A-B27F-2B9511EAB288}">
  <sheetPr codeName="Sheet15">
    <tabColor theme="5"/>
  </sheetPr>
  <dimension ref="A1:K59"/>
  <sheetViews>
    <sheetView workbookViewId="0"/>
  </sheetViews>
  <sheetFormatPr defaultRowHeight="14.5" x14ac:dyDescent="0.35"/>
  <cols>
    <col min="1" max="1" width="17.453125" customWidth="1"/>
    <col min="2" max="2" width="52.453125" customWidth="1"/>
    <col min="3" max="4" width="10.54296875" customWidth="1"/>
    <col min="5" max="6" width="15.54296875" customWidth="1"/>
    <col min="7" max="7" width="62.453125" customWidth="1"/>
    <col min="11" max="11" width="15.54296875" bestFit="1" customWidth="1"/>
  </cols>
  <sheetData>
    <row r="1" spans="1:11" ht="21" x14ac:dyDescent="0.5">
      <c r="A1" s="394" t="s">
        <v>513</v>
      </c>
    </row>
    <row r="3" spans="1:11" s="407" customFormat="1" thickBot="1" x14ac:dyDescent="0.35">
      <c r="A3" s="404"/>
      <c r="B3" s="405" t="s">
        <v>514</v>
      </c>
      <c r="C3" s="406" t="s">
        <v>515</v>
      </c>
      <c r="D3" s="406" t="s">
        <v>430</v>
      </c>
      <c r="E3" s="406" t="s">
        <v>516</v>
      </c>
      <c r="F3" s="406" t="s">
        <v>517</v>
      </c>
      <c r="G3" s="406" t="s">
        <v>518</v>
      </c>
    </row>
    <row r="4" spans="1:11" s="407" customFormat="1" ht="14" x14ac:dyDescent="0.3">
      <c r="C4" s="408"/>
      <c r="D4" s="408"/>
      <c r="E4" s="408"/>
      <c r="F4" s="408"/>
      <c r="G4" s="408"/>
    </row>
    <row r="5" spans="1:11" s="407" customFormat="1" thickBot="1" x14ac:dyDescent="0.35">
      <c r="A5" s="409"/>
      <c r="C5" s="408"/>
      <c r="D5" s="408"/>
    </row>
    <row r="6" spans="1:11" s="407" customFormat="1" ht="14" x14ac:dyDescent="0.3">
      <c r="A6" s="507" t="s">
        <v>519</v>
      </c>
      <c r="B6" s="411" t="s">
        <v>520</v>
      </c>
      <c r="C6" s="412">
        <v>10</v>
      </c>
      <c r="D6" s="413" t="s">
        <v>521</v>
      </c>
      <c r="E6" s="414">
        <v>12796.320000000002</v>
      </c>
      <c r="F6" s="415">
        <f>C6*E6</f>
        <v>127963.20000000001</v>
      </c>
      <c r="G6" s="416"/>
      <c r="K6" s="417"/>
    </row>
    <row r="7" spans="1:11" s="407" customFormat="1" ht="14" x14ac:dyDescent="0.3">
      <c r="A7" s="509"/>
      <c r="B7" s="419" t="s">
        <v>522</v>
      </c>
      <c r="C7" s="420"/>
      <c r="D7" s="421" t="s">
        <v>294</v>
      </c>
      <c r="E7" s="422">
        <v>16.96</v>
      </c>
      <c r="F7" s="423">
        <f>C7*E7</f>
        <v>0</v>
      </c>
      <c r="G7" s="424"/>
      <c r="K7" s="417"/>
    </row>
    <row r="8" spans="1:11" s="407" customFormat="1" ht="14" x14ac:dyDescent="0.3">
      <c r="A8" s="509"/>
      <c r="B8" s="419" t="s">
        <v>523</v>
      </c>
      <c r="C8" s="420">
        <v>112375</v>
      </c>
      <c r="D8" s="421" t="s">
        <v>294</v>
      </c>
      <c r="E8" s="422">
        <v>21.200000000000003</v>
      </c>
      <c r="F8" s="423">
        <f>C8*E8</f>
        <v>2382350.0000000005</v>
      </c>
      <c r="G8" s="424" t="s">
        <v>524</v>
      </c>
      <c r="K8" s="417"/>
    </row>
    <row r="9" spans="1:11" s="407" customFormat="1" ht="14" x14ac:dyDescent="0.3">
      <c r="A9" s="509"/>
      <c r="B9" s="419" t="s">
        <v>525</v>
      </c>
      <c r="C9" s="420">
        <v>48160</v>
      </c>
      <c r="D9" s="421" t="s">
        <v>294</v>
      </c>
      <c r="E9" s="422">
        <v>33.92</v>
      </c>
      <c r="F9" s="423">
        <f>C9*E9</f>
        <v>1633587.2000000002</v>
      </c>
      <c r="G9" s="424" t="s">
        <v>526</v>
      </c>
      <c r="K9" s="417"/>
    </row>
    <row r="10" spans="1:11" s="407" customFormat="1" thickBot="1" x14ac:dyDescent="0.35">
      <c r="A10" s="504"/>
      <c r="B10" s="426" t="s">
        <v>527</v>
      </c>
      <c r="C10" s="427"/>
      <c r="D10" s="428"/>
      <c r="E10" s="429">
        <v>0</v>
      </c>
      <c r="F10" s="430">
        <f>SUM(F6:F9)</f>
        <v>4143900.4000000008</v>
      </c>
      <c r="G10" s="431"/>
      <c r="K10" s="417"/>
    </row>
    <row r="11" spans="1:11" s="407" customFormat="1" ht="14" x14ac:dyDescent="0.3">
      <c r="A11" s="508" t="s">
        <v>528</v>
      </c>
      <c r="B11" s="433" t="s">
        <v>529</v>
      </c>
      <c r="C11" s="412"/>
      <c r="D11" s="413" t="s">
        <v>521</v>
      </c>
      <c r="E11" s="414">
        <v>0</v>
      </c>
      <c r="F11" s="415">
        <f t="shared" ref="F11:F16" si="0">C11*E11</f>
        <v>0</v>
      </c>
      <c r="G11" s="416"/>
      <c r="K11" s="417"/>
    </row>
    <row r="12" spans="1:11" s="407" customFormat="1" ht="14" x14ac:dyDescent="0.3">
      <c r="A12" s="508"/>
      <c r="B12" s="419" t="s">
        <v>530</v>
      </c>
      <c r="C12" s="420"/>
      <c r="D12" s="421" t="s">
        <v>531</v>
      </c>
      <c r="E12" s="422">
        <v>0</v>
      </c>
      <c r="F12" s="423">
        <f t="shared" si="0"/>
        <v>0</v>
      </c>
      <c r="G12" s="424"/>
      <c r="K12" s="417"/>
    </row>
    <row r="13" spans="1:11" s="407" customFormat="1" ht="14" x14ac:dyDescent="0.3">
      <c r="A13" s="508"/>
      <c r="B13" s="419" t="s">
        <v>532</v>
      </c>
      <c r="C13" s="434"/>
      <c r="D13" s="421" t="s">
        <v>357</v>
      </c>
      <c r="E13" s="422">
        <v>0</v>
      </c>
      <c r="F13" s="423">
        <f t="shared" si="0"/>
        <v>0</v>
      </c>
      <c r="G13" s="424"/>
      <c r="K13" s="417"/>
    </row>
    <row r="14" spans="1:11" s="407" customFormat="1" ht="14" x14ac:dyDescent="0.3">
      <c r="A14" s="508"/>
      <c r="B14" s="419" t="s">
        <v>533</v>
      </c>
      <c r="C14" s="434"/>
      <c r="D14" s="421" t="s">
        <v>357</v>
      </c>
      <c r="E14" s="422">
        <v>0</v>
      </c>
      <c r="F14" s="423">
        <f t="shared" si="0"/>
        <v>0</v>
      </c>
      <c r="G14" s="424"/>
      <c r="K14" s="417"/>
    </row>
    <row r="15" spans="1:11" s="407" customFormat="1" ht="14" x14ac:dyDescent="0.3">
      <c r="A15" s="508"/>
      <c r="B15" s="419" t="s">
        <v>534</v>
      </c>
      <c r="C15" s="434"/>
      <c r="D15" s="421" t="s">
        <v>535</v>
      </c>
      <c r="E15" s="422">
        <v>0</v>
      </c>
      <c r="F15" s="423">
        <f t="shared" si="0"/>
        <v>0</v>
      </c>
      <c r="G15" s="424"/>
      <c r="K15" s="417"/>
    </row>
    <row r="16" spans="1:11" s="407" customFormat="1" ht="14" x14ac:dyDescent="0.3">
      <c r="A16" s="508"/>
      <c r="B16" s="419" t="s">
        <v>536</v>
      </c>
      <c r="C16" s="434"/>
      <c r="D16" s="421" t="s">
        <v>537</v>
      </c>
      <c r="E16" s="422">
        <v>0</v>
      </c>
      <c r="F16" s="423">
        <f t="shared" si="0"/>
        <v>0</v>
      </c>
      <c r="G16" s="424"/>
      <c r="K16" s="417"/>
    </row>
    <row r="17" spans="1:11" s="407" customFormat="1" thickBot="1" x14ac:dyDescent="0.35">
      <c r="A17" s="504"/>
      <c r="B17" s="426" t="s">
        <v>527</v>
      </c>
      <c r="C17" s="427"/>
      <c r="D17" s="428"/>
      <c r="E17" s="429">
        <v>0</v>
      </c>
      <c r="F17" s="435">
        <v>1200000</v>
      </c>
      <c r="G17" s="431" t="s">
        <v>538</v>
      </c>
      <c r="K17" s="417"/>
    </row>
    <row r="18" spans="1:11" s="407" customFormat="1" ht="14" x14ac:dyDescent="0.3">
      <c r="A18" s="507" t="s">
        <v>539</v>
      </c>
      <c r="B18" s="755" t="s">
        <v>540</v>
      </c>
      <c r="C18" s="756">
        <v>1</v>
      </c>
      <c r="D18" s="757" t="s">
        <v>541</v>
      </c>
      <c r="E18" s="758">
        <v>6360</v>
      </c>
      <c r="F18" s="423">
        <f>C18*E18</f>
        <v>6360</v>
      </c>
      <c r="G18" s="449"/>
      <c r="K18" s="417"/>
    </row>
    <row r="19" spans="1:11" s="407" customFormat="1" thickBot="1" x14ac:dyDescent="0.35">
      <c r="A19" s="504"/>
      <c r="B19" s="426" t="s">
        <v>527</v>
      </c>
      <c r="C19" s="427"/>
      <c r="D19" s="428"/>
      <c r="E19" s="429">
        <v>0</v>
      </c>
      <c r="F19" s="430">
        <f>SUM(F18:F18)</f>
        <v>6360</v>
      </c>
      <c r="G19" s="431"/>
      <c r="K19" s="417"/>
    </row>
    <row r="20" spans="1:11" s="407" customFormat="1" ht="14" x14ac:dyDescent="0.3">
      <c r="A20" s="505" t="s">
        <v>542</v>
      </c>
      <c r="B20" s="419" t="s">
        <v>543</v>
      </c>
      <c r="C20" s="434"/>
      <c r="D20" s="421" t="s">
        <v>531</v>
      </c>
      <c r="E20" s="446">
        <v>2.12</v>
      </c>
      <c r="F20" s="415">
        <f>C20*E20</f>
        <v>0</v>
      </c>
      <c r="G20" s="416"/>
      <c r="K20" s="417"/>
    </row>
    <row r="21" spans="1:11" s="407" customFormat="1" ht="14" x14ac:dyDescent="0.3">
      <c r="A21" s="505"/>
      <c r="B21" s="451" t="s">
        <v>544</v>
      </c>
      <c r="C21" s="444"/>
      <c r="D21" s="445" t="s">
        <v>531</v>
      </c>
      <c r="E21" s="446">
        <v>15.9954</v>
      </c>
      <c r="F21" s="423">
        <f>C21*E21</f>
        <v>0</v>
      </c>
      <c r="G21" s="424"/>
      <c r="K21" s="417"/>
    </row>
    <row r="22" spans="1:11" s="407" customFormat="1" ht="14" x14ac:dyDescent="0.3">
      <c r="A22" s="505"/>
      <c r="B22" s="419" t="s">
        <v>545</v>
      </c>
      <c r="C22" s="434"/>
      <c r="D22" s="421" t="s">
        <v>531</v>
      </c>
      <c r="E22" s="422">
        <v>456.86</v>
      </c>
      <c r="F22" s="423">
        <f>C22*E22</f>
        <v>0</v>
      </c>
      <c r="G22" s="424"/>
      <c r="K22" s="417"/>
    </row>
    <row r="23" spans="1:11" s="407" customFormat="1" ht="14" x14ac:dyDescent="0.3">
      <c r="A23" s="505"/>
      <c r="B23" s="759" t="s">
        <v>546</v>
      </c>
      <c r="C23" s="756"/>
      <c r="D23" s="757" t="s">
        <v>531</v>
      </c>
      <c r="E23" s="758">
        <v>6.36</v>
      </c>
      <c r="F23" s="423">
        <f>C23*E23</f>
        <v>0</v>
      </c>
      <c r="G23" s="449"/>
      <c r="K23" s="417"/>
    </row>
    <row r="24" spans="1:11" s="407" customFormat="1" ht="14" x14ac:dyDescent="0.3">
      <c r="A24" s="505"/>
      <c r="B24" s="759" t="s">
        <v>224</v>
      </c>
      <c r="C24" s="756">
        <v>1</v>
      </c>
      <c r="D24" s="757" t="s">
        <v>430</v>
      </c>
      <c r="E24" s="758">
        <v>1696000</v>
      </c>
      <c r="F24" s="423">
        <f>C24*E24</f>
        <v>1696000</v>
      </c>
      <c r="G24" s="449" t="s">
        <v>547</v>
      </c>
      <c r="K24" s="417"/>
    </row>
    <row r="25" spans="1:11" s="407" customFormat="1" thickBot="1" x14ac:dyDescent="0.35">
      <c r="A25" s="504"/>
      <c r="B25" s="426" t="s">
        <v>527</v>
      </c>
      <c r="C25" s="452"/>
      <c r="D25" s="428"/>
      <c r="E25" s="429">
        <v>0</v>
      </c>
      <c r="F25" s="430">
        <f>SUM(F20:F24)</f>
        <v>1696000</v>
      </c>
      <c r="G25" s="431"/>
      <c r="K25" s="417"/>
    </row>
    <row r="26" spans="1:11" s="407" customFormat="1" ht="26" x14ac:dyDescent="0.3">
      <c r="A26" s="506" t="s">
        <v>548</v>
      </c>
      <c r="B26" s="454" t="s">
        <v>549</v>
      </c>
      <c r="C26" s="455"/>
      <c r="D26" s="456"/>
      <c r="E26" s="457">
        <v>0</v>
      </c>
      <c r="F26" s="415"/>
      <c r="G26" s="416" t="s">
        <v>550</v>
      </c>
      <c r="K26" s="417"/>
    </row>
    <row r="27" spans="1:11" s="407" customFormat="1" ht="14" x14ac:dyDescent="0.3">
      <c r="A27" s="505"/>
      <c r="B27" s="451" t="s">
        <v>551</v>
      </c>
      <c r="C27" s="459"/>
      <c r="D27" s="460"/>
      <c r="E27" s="461">
        <v>0</v>
      </c>
      <c r="F27" s="447"/>
      <c r="G27" s="462"/>
      <c r="K27" s="417"/>
    </row>
    <row r="28" spans="1:11" s="407" customFormat="1" ht="14" x14ac:dyDescent="0.3">
      <c r="A28" s="505"/>
      <c r="B28" s="451" t="s">
        <v>552</v>
      </c>
      <c r="C28" s="459"/>
      <c r="D28" s="460"/>
      <c r="E28" s="461">
        <v>0</v>
      </c>
      <c r="F28" s="447"/>
      <c r="G28" s="448"/>
      <c r="K28" s="417"/>
    </row>
    <row r="29" spans="1:11" s="407" customFormat="1" ht="14" x14ac:dyDescent="0.3">
      <c r="A29" s="505"/>
      <c r="B29" s="451" t="s">
        <v>553</v>
      </c>
      <c r="C29" s="459"/>
      <c r="D29" s="460"/>
      <c r="E29" s="461">
        <v>0</v>
      </c>
      <c r="F29" s="447"/>
      <c r="G29" s="448"/>
      <c r="K29" s="417"/>
    </row>
    <row r="30" spans="1:11" s="407" customFormat="1" thickBot="1" x14ac:dyDescent="0.35">
      <c r="A30" s="504"/>
      <c r="B30" s="426" t="s">
        <v>527</v>
      </c>
      <c r="C30" s="427"/>
      <c r="D30" s="428"/>
      <c r="E30" s="429">
        <v>0</v>
      </c>
      <c r="F30" s="435"/>
      <c r="G30" s="431"/>
      <c r="K30" s="417"/>
    </row>
    <row r="31" spans="1:11" s="407" customFormat="1" ht="14" x14ac:dyDescent="0.3">
      <c r="A31" s="505" t="s">
        <v>554</v>
      </c>
      <c r="B31" s="451" t="s">
        <v>227</v>
      </c>
      <c r="C31" s="459">
        <v>18052</v>
      </c>
      <c r="D31" s="445" t="s">
        <v>555</v>
      </c>
      <c r="E31" s="446">
        <v>318</v>
      </c>
      <c r="F31" s="447">
        <f t="shared" ref="F31:F38" si="1">C31*E31</f>
        <v>5740536</v>
      </c>
      <c r="G31" s="416"/>
      <c r="K31" s="417"/>
    </row>
    <row r="32" spans="1:11" s="407" customFormat="1" ht="14" x14ac:dyDescent="0.3">
      <c r="A32" s="505"/>
      <c r="B32" s="451" t="s">
        <v>228</v>
      </c>
      <c r="C32" s="459">
        <v>10474</v>
      </c>
      <c r="D32" s="445" t="s">
        <v>294</v>
      </c>
      <c r="E32" s="446">
        <v>26.5</v>
      </c>
      <c r="F32" s="423">
        <f t="shared" si="1"/>
        <v>277561</v>
      </c>
      <c r="G32" s="448"/>
      <c r="K32" s="417"/>
    </row>
    <row r="33" spans="1:11" s="407" customFormat="1" ht="14" x14ac:dyDescent="0.3">
      <c r="A33" s="505"/>
      <c r="B33" s="419" t="s">
        <v>229</v>
      </c>
      <c r="C33" s="420">
        <v>6347</v>
      </c>
      <c r="D33" s="421" t="s">
        <v>294</v>
      </c>
      <c r="E33" s="422">
        <v>28.62</v>
      </c>
      <c r="F33" s="423">
        <f t="shared" si="1"/>
        <v>181651.14</v>
      </c>
      <c r="G33" s="424"/>
      <c r="K33" s="417"/>
    </row>
    <row r="34" spans="1:11" s="407" customFormat="1" ht="14" x14ac:dyDescent="0.3">
      <c r="A34" s="505"/>
      <c r="B34" s="419" t="s">
        <v>556</v>
      </c>
      <c r="C34" s="420">
        <v>0</v>
      </c>
      <c r="D34" s="421" t="s">
        <v>555</v>
      </c>
      <c r="E34" s="422">
        <v>19.080000000000002</v>
      </c>
      <c r="F34" s="423">
        <f t="shared" si="1"/>
        <v>0</v>
      </c>
      <c r="G34" s="424"/>
      <c r="K34" s="417"/>
    </row>
    <row r="35" spans="1:11" s="407" customFormat="1" ht="14" x14ac:dyDescent="0.3">
      <c r="A35" s="505"/>
      <c r="B35" s="419" t="s">
        <v>557</v>
      </c>
      <c r="C35" s="434"/>
      <c r="D35" s="421" t="s">
        <v>555</v>
      </c>
      <c r="E35" s="422">
        <v>14.84</v>
      </c>
      <c r="F35" s="423">
        <f t="shared" si="1"/>
        <v>0</v>
      </c>
      <c r="G35" s="424"/>
      <c r="K35" s="417"/>
    </row>
    <row r="36" spans="1:11" s="407" customFormat="1" ht="14" x14ac:dyDescent="0.3">
      <c r="A36" s="505"/>
      <c r="B36" s="419" t="s">
        <v>558</v>
      </c>
      <c r="C36" s="434">
        <v>0</v>
      </c>
      <c r="D36" s="421" t="s">
        <v>537</v>
      </c>
      <c r="E36" s="422">
        <v>174900</v>
      </c>
      <c r="F36" s="423">
        <f t="shared" si="1"/>
        <v>0</v>
      </c>
      <c r="G36" s="424"/>
      <c r="K36" s="417"/>
    </row>
    <row r="37" spans="1:11" s="407" customFormat="1" ht="14" x14ac:dyDescent="0.3">
      <c r="A37" s="505"/>
      <c r="B37" s="419" t="s">
        <v>230</v>
      </c>
      <c r="C37" s="434">
        <v>4</v>
      </c>
      <c r="D37" s="421" t="s">
        <v>537</v>
      </c>
      <c r="E37" s="422">
        <v>164300</v>
      </c>
      <c r="F37" s="423">
        <f t="shared" si="1"/>
        <v>657200</v>
      </c>
      <c r="G37" s="424"/>
      <c r="K37" s="417"/>
    </row>
    <row r="38" spans="1:11" s="407" customFormat="1" ht="14" x14ac:dyDescent="0.3">
      <c r="A38" s="505"/>
      <c r="B38" s="419" t="s">
        <v>232</v>
      </c>
      <c r="C38" s="434">
        <v>0</v>
      </c>
      <c r="D38" s="421" t="s">
        <v>537</v>
      </c>
      <c r="E38" s="422">
        <v>164300</v>
      </c>
      <c r="F38" s="423">
        <f t="shared" si="1"/>
        <v>0</v>
      </c>
      <c r="G38" s="424"/>
      <c r="K38" s="417"/>
    </row>
    <row r="39" spans="1:11" s="407" customFormat="1" thickBot="1" x14ac:dyDescent="0.35">
      <c r="A39" s="504"/>
      <c r="B39" s="426" t="s">
        <v>527</v>
      </c>
      <c r="C39" s="427"/>
      <c r="D39" s="428"/>
      <c r="E39" s="429">
        <v>0</v>
      </c>
      <c r="F39" s="430">
        <f>SUM(F31:F38)</f>
        <v>6856948.1399999997</v>
      </c>
      <c r="G39" s="431"/>
      <c r="K39" s="417"/>
    </row>
    <row r="40" spans="1:11" s="407" customFormat="1" thickBot="1" x14ac:dyDescent="0.35">
      <c r="A40" s="503" t="s">
        <v>559</v>
      </c>
      <c r="B40" s="464" t="s">
        <v>527</v>
      </c>
      <c r="C40" s="465"/>
      <c r="D40" s="466"/>
      <c r="E40" s="467">
        <v>0</v>
      </c>
      <c r="F40" s="468">
        <v>300000</v>
      </c>
      <c r="G40" s="469" t="s">
        <v>560</v>
      </c>
      <c r="K40" s="417"/>
    </row>
    <row r="41" spans="1:11" s="407" customFormat="1" ht="14" x14ac:dyDescent="0.3">
      <c r="A41" s="502" t="s">
        <v>561</v>
      </c>
      <c r="B41" s="451" t="s">
        <v>562</v>
      </c>
      <c r="C41" s="459">
        <v>0</v>
      </c>
      <c r="D41" s="445" t="s">
        <v>521</v>
      </c>
      <c r="E41" s="446">
        <v>0</v>
      </c>
      <c r="F41" s="447">
        <f>C41*E41</f>
        <v>0</v>
      </c>
      <c r="G41" s="448"/>
      <c r="K41" s="417"/>
    </row>
    <row r="42" spans="1:11" s="407" customFormat="1" thickBot="1" x14ac:dyDescent="0.35">
      <c r="A42" s="501"/>
      <c r="B42" s="426" t="s">
        <v>527</v>
      </c>
      <c r="C42" s="427"/>
      <c r="D42" s="428"/>
      <c r="E42" s="429"/>
      <c r="F42" s="430">
        <f>SUM(F41:F41)</f>
        <v>0</v>
      </c>
      <c r="G42" s="431"/>
    </row>
    <row r="43" spans="1:11" x14ac:dyDescent="0.35">
      <c r="A43" s="472"/>
      <c r="B43" s="473" t="s">
        <v>563</v>
      </c>
      <c r="C43" s="474"/>
      <c r="D43" s="475"/>
      <c r="E43" s="476"/>
      <c r="F43" s="477">
        <f>(SUM(F6:F42))/2</f>
        <v>13453208.540000001</v>
      </c>
      <c r="G43" s="478"/>
    </row>
    <row r="44" spans="1:11" ht="25" x14ac:dyDescent="0.35">
      <c r="A44" s="479"/>
      <c r="B44" s="480" t="s">
        <v>564</v>
      </c>
      <c r="C44" s="481"/>
      <c r="D44" s="482"/>
      <c r="E44" s="483">
        <v>0.25</v>
      </c>
      <c r="F44" s="484">
        <f>F43*E44</f>
        <v>3363302.1350000002</v>
      </c>
      <c r="G44" s="485" t="s">
        <v>565</v>
      </c>
    </row>
    <row r="45" spans="1:11" x14ac:dyDescent="0.35">
      <c r="A45" s="479"/>
      <c r="B45" s="486" t="s">
        <v>527</v>
      </c>
      <c r="C45" s="481"/>
      <c r="D45" s="487"/>
      <c r="E45" s="488"/>
      <c r="F45" s="489">
        <f>F43+F44</f>
        <v>16816510.675000001</v>
      </c>
      <c r="G45" s="490"/>
    </row>
    <row r="46" spans="1:11" x14ac:dyDescent="0.35">
      <c r="A46" s="479"/>
      <c r="B46" s="491" t="s">
        <v>566</v>
      </c>
      <c r="C46" s="481"/>
      <c r="D46" s="487"/>
      <c r="E46" s="488">
        <v>0.03</v>
      </c>
      <c r="F46" s="492">
        <f>F45*E46</f>
        <v>504495.32024999999</v>
      </c>
      <c r="G46" s="493"/>
    </row>
    <row r="47" spans="1:11" x14ac:dyDescent="0.35">
      <c r="A47" s="479"/>
      <c r="B47" s="491" t="s">
        <v>567</v>
      </c>
      <c r="C47" s="481"/>
      <c r="D47" s="487"/>
      <c r="E47" s="488">
        <v>0.05</v>
      </c>
      <c r="F47" s="492">
        <f>F45*E47</f>
        <v>840825.53375000006</v>
      </c>
      <c r="G47" s="493"/>
    </row>
    <row r="48" spans="1:11" x14ac:dyDescent="0.35">
      <c r="A48" s="479"/>
      <c r="B48" s="491" t="s">
        <v>568</v>
      </c>
      <c r="C48" s="481"/>
      <c r="D48" s="487"/>
      <c r="E48" s="488">
        <v>0.01</v>
      </c>
      <c r="F48" s="492">
        <f>F45*E48</f>
        <v>168165.10675000001</v>
      </c>
      <c r="G48" s="494" t="s">
        <v>569</v>
      </c>
    </row>
    <row r="49" spans="1:7" x14ac:dyDescent="0.35">
      <c r="A49" s="479"/>
      <c r="B49" s="491" t="s">
        <v>570</v>
      </c>
      <c r="C49" s="481"/>
      <c r="D49" s="487"/>
      <c r="E49" s="488">
        <v>1.7999999999999999E-2</v>
      </c>
      <c r="F49" s="492">
        <f>F45*E49</f>
        <v>302697.19215000002</v>
      </c>
      <c r="G49" s="493"/>
    </row>
    <row r="50" spans="1:7" ht="15" thickBot="1" x14ac:dyDescent="0.4">
      <c r="A50" s="495"/>
      <c r="B50" s="496" t="s">
        <v>571</v>
      </c>
      <c r="C50" s="497"/>
      <c r="D50" s="497"/>
      <c r="E50" s="498"/>
      <c r="F50" s="499">
        <f>SUM(F45:F49)</f>
        <v>18632693.827900004</v>
      </c>
      <c r="G50" s="500" t="s">
        <v>572</v>
      </c>
    </row>
    <row r="54" spans="1:7" x14ac:dyDescent="0.35">
      <c r="F54" s="29"/>
      <c r="G54" s="398" t="s">
        <v>573</v>
      </c>
    </row>
    <row r="55" spans="1:7" x14ac:dyDescent="0.35">
      <c r="G55" s="14" t="s">
        <v>277</v>
      </c>
    </row>
    <row r="56" spans="1:7" x14ac:dyDescent="0.35">
      <c r="G56" s="14" t="s">
        <v>279</v>
      </c>
    </row>
    <row r="57" spans="1:7" x14ac:dyDescent="0.35">
      <c r="G57" s="14" t="s">
        <v>280</v>
      </c>
    </row>
    <row r="58" spans="1:7" x14ac:dyDescent="0.35">
      <c r="G58" s="14" t="s">
        <v>281</v>
      </c>
    </row>
    <row r="59" spans="1:7" x14ac:dyDescent="0.35">
      <c r="G59" s="14" t="s">
        <v>282</v>
      </c>
    </row>
  </sheetData>
  <pageMargins left="0.7" right="0.7" top="0.75" bottom="0.75" header="0.3" footer="0.3"/>
  <pageSetup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D3AE0-0614-4C33-86AE-943CFD15290D}">
  <sheetPr codeName="Sheet16">
    <tabColor theme="4"/>
  </sheetPr>
  <dimension ref="A1:K69"/>
  <sheetViews>
    <sheetView topLeftCell="A48" workbookViewId="0"/>
  </sheetViews>
  <sheetFormatPr defaultRowHeight="14.5" x14ac:dyDescent="0.35"/>
  <cols>
    <col min="1" max="1" width="17.453125" customWidth="1"/>
    <col min="2" max="2" width="52.453125" customWidth="1"/>
    <col min="3" max="4" width="10.54296875" customWidth="1"/>
    <col min="5" max="6" width="15.54296875" customWidth="1"/>
    <col min="7" max="7" width="62.453125" customWidth="1"/>
    <col min="11" max="11" width="15.54296875" bestFit="1" customWidth="1"/>
  </cols>
  <sheetData>
    <row r="1" spans="1:11" ht="21" x14ac:dyDescent="0.5">
      <c r="A1" s="394" t="s">
        <v>574</v>
      </c>
    </row>
    <row r="3" spans="1:11" s="407" customFormat="1" thickBot="1" x14ac:dyDescent="0.35">
      <c r="A3" s="404"/>
      <c r="B3" s="405" t="s">
        <v>514</v>
      </c>
      <c r="C3" s="406" t="s">
        <v>515</v>
      </c>
      <c r="D3" s="406" t="s">
        <v>430</v>
      </c>
      <c r="E3" s="406" t="s">
        <v>516</v>
      </c>
      <c r="F3" s="406" t="s">
        <v>517</v>
      </c>
      <c r="G3" s="406" t="s">
        <v>518</v>
      </c>
    </row>
    <row r="4" spans="1:11" s="407" customFormat="1" ht="14" x14ac:dyDescent="0.3">
      <c r="C4" s="408"/>
      <c r="D4" s="408"/>
      <c r="E4" s="408"/>
      <c r="F4" s="408"/>
      <c r="G4" s="408"/>
    </row>
    <row r="5" spans="1:11" s="407" customFormat="1" thickBot="1" x14ac:dyDescent="0.35">
      <c r="A5" s="409"/>
      <c r="C5" s="408"/>
      <c r="D5" s="408"/>
    </row>
    <row r="6" spans="1:11" s="407" customFormat="1" ht="14" x14ac:dyDescent="0.3">
      <c r="A6" s="410" t="s">
        <v>519</v>
      </c>
      <c r="B6" s="411" t="s">
        <v>520</v>
      </c>
      <c r="C6" s="412">
        <v>17</v>
      </c>
      <c r="D6" s="413" t="s">
        <v>521</v>
      </c>
      <c r="E6" s="414">
        <v>12796.320000000002</v>
      </c>
      <c r="F6" s="415">
        <f>C6*E6</f>
        <v>217537.44000000003</v>
      </c>
      <c r="G6" s="416" t="s">
        <v>575</v>
      </c>
      <c r="K6" s="417"/>
    </row>
    <row r="7" spans="1:11" s="407" customFormat="1" ht="14" x14ac:dyDescent="0.3">
      <c r="A7" s="418"/>
      <c r="B7" s="419" t="s">
        <v>522</v>
      </c>
      <c r="C7" s="420"/>
      <c r="D7" s="421" t="s">
        <v>294</v>
      </c>
      <c r="E7" s="422">
        <v>16.96</v>
      </c>
      <c r="F7" s="423">
        <f>C7*E7</f>
        <v>0</v>
      </c>
      <c r="G7" s="424"/>
      <c r="K7" s="417"/>
    </row>
    <row r="8" spans="1:11" s="407" customFormat="1" ht="14" x14ac:dyDescent="0.3">
      <c r="A8" s="418"/>
      <c r="B8" s="419" t="s">
        <v>523</v>
      </c>
      <c r="C8" s="420">
        <v>107237</v>
      </c>
      <c r="D8" s="421" t="s">
        <v>294</v>
      </c>
      <c r="E8" s="422">
        <v>21.200000000000003</v>
      </c>
      <c r="F8" s="423">
        <f>C8*E8</f>
        <v>2273424.4000000004</v>
      </c>
      <c r="G8" s="424" t="s">
        <v>576</v>
      </c>
      <c r="K8" s="417"/>
    </row>
    <row r="9" spans="1:11" s="407" customFormat="1" ht="14" x14ac:dyDescent="0.3">
      <c r="A9" s="418"/>
      <c r="B9" s="419" t="s">
        <v>525</v>
      </c>
      <c r="C9" s="420">
        <v>49495</v>
      </c>
      <c r="D9" s="421" t="s">
        <v>294</v>
      </c>
      <c r="E9" s="422">
        <v>33.92</v>
      </c>
      <c r="F9" s="423">
        <f>C9*E9</f>
        <v>1678870.4000000001</v>
      </c>
      <c r="G9" s="424" t="s">
        <v>526</v>
      </c>
      <c r="K9" s="417"/>
    </row>
    <row r="10" spans="1:11" s="407" customFormat="1" thickBot="1" x14ac:dyDescent="0.35">
      <c r="A10" s="425"/>
      <c r="B10" s="426" t="s">
        <v>527</v>
      </c>
      <c r="C10" s="427"/>
      <c r="D10" s="428"/>
      <c r="E10" s="429">
        <v>0</v>
      </c>
      <c r="F10" s="430">
        <f>SUM(F6:F9)</f>
        <v>4169832.24</v>
      </c>
      <c r="G10" s="431"/>
      <c r="K10" s="417"/>
    </row>
    <row r="11" spans="1:11" s="407" customFormat="1" ht="14" x14ac:dyDescent="0.3">
      <c r="A11" s="432" t="s">
        <v>528</v>
      </c>
      <c r="B11" s="433" t="s">
        <v>529</v>
      </c>
      <c r="C11" s="412"/>
      <c r="D11" s="413" t="s">
        <v>521</v>
      </c>
      <c r="E11" s="414">
        <v>0</v>
      </c>
      <c r="F11" s="415">
        <f t="shared" ref="F11:F16" si="0">C11*E11</f>
        <v>0</v>
      </c>
      <c r="G11" s="416"/>
      <c r="K11" s="417"/>
    </row>
    <row r="12" spans="1:11" s="407" customFormat="1" ht="14" x14ac:dyDescent="0.3">
      <c r="A12" s="432"/>
      <c r="B12" s="419" t="s">
        <v>530</v>
      </c>
      <c r="C12" s="420"/>
      <c r="D12" s="421" t="s">
        <v>531</v>
      </c>
      <c r="E12" s="422">
        <v>0</v>
      </c>
      <c r="F12" s="423">
        <f t="shared" si="0"/>
        <v>0</v>
      </c>
      <c r="G12" s="424"/>
      <c r="K12" s="417"/>
    </row>
    <row r="13" spans="1:11" s="407" customFormat="1" ht="14" x14ac:dyDescent="0.3">
      <c r="A13" s="432"/>
      <c r="B13" s="419" t="s">
        <v>532</v>
      </c>
      <c r="C13" s="434"/>
      <c r="D13" s="421" t="s">
        <v>357</v>
      </c>
      <c r="E13" s="422">
        <v>0</v>
      </c>
      <c r="F13" s="423">
        <f t="shared" si="0"/>
        <v>0</v>
      </c>
      <c r="G13" s="424"/>
      <c r="K13" s="417"/>
    </row>
    <row r="14" spans="1:11" s="407" customFormat="1" ht="14" x14ac:dyDescent="0.3">
      <c r="A14" s="432"/>
      <c r="B14" s="419" t="s">
        <v>533</v>
      </c>
      <c r="C14" s="434"/>
      <c r="D14" s="421" t="s">
        <v>357</v>
      </c>
      <c r="E14" s="422">
        <v>0</v>
      </c>
      <c r="F14" s="423">
        <f t="shared" si="0"/>
        <v>0</v>
      </c>
      <c r="G14" s="424"/>
      <c r="K14" s="417"/>
    </row>
    <row r="15" spans="1:11" s="407" customFormat="1" ht="14" x14ac:dyDescent="0.3">
      <c r="A15" s="432"/>
      <c r="B15" s="419" t="s">
        <v>534</v>
      </c>
      <c r="C15" s="434"/>
      <c r="D15" s="421" t="s">
        <v>535</v>
      </c>
      <c r="E15" s="422">
        <v>0</v>
      </c>
      <c r="F15" s="423">
        <f t="shared" si="0"/>
        <v>0</v>
      </c>
      <c r="G15" s="424"/>
      <c r="K15" s="417"/>
    </row>
    <row r="16" spans="1:11" s="407" customFormat="1" ht="14" x14ac:dyDescent="0.3">
      <c r="A16" s="432"/>
      <c r="B16" s="419" t="s">
        <v>536</v>
      </c>
      <c r="C16" s="434"/>
      <c r="D16" s="421" t="s">
        <v>537</v>
      </c>
      <c r="E16" s="422">
        <v>0</v>
      </c>
      <c r="F16" s="423">
        <f t="shared" si="0"/>
        <v>0</v>
      </c>
      <c r="G16" s="424"/>
      <c r="K16" s="417"/>
    </row>
    <row r="17" spans="1:11" s="407" customFormat="1" thickBot="1" x14ac:dyDescent="0.35">
      <c r="A17" s="425"/>
      <c r="B17" s="426" t="s">
        <v>527</v>
      </c>
      <c r="C17" s="427"/>
      <c r="D17" s="428"/>
      <c r="E17" s="429">
        <v>0</v>
      </c>
      <c r="F17" s="435">
        <v>1500000</v>
      </c>
      <c r="G17" s="431" t="s">
        <v>538</v>
      </c>
      <c r="K17" s="417"/>
    </row>
    <row r="18" spans="1:11" s="407" customFormat="1" ht="25" x14ac:dyDescent="0.3">
      <c r="A18" s="410" t="s">
        <v>539</v>
      </c>
      <c r="B18" s="436" t="s">
        <v>577</v>
      </c>
      <c r="C18" s="412">
        <v>14</v>
      </c>
      <c r="D18" s="413" t="s">
        <v>535</v>
      </c>
      <c r="E18" s="414">
        <v>12.72</v>
      </c>
      <c r="F18" s="415">
        <f t="shared" ref="F18:F50" si="1">C18*E18</f>
        <v>178.08</v>
      </c>
      <c r="G18" s="416" t="s">
        <v>578</v>
      </c>
      <c r="K18" s="417"/>
    </row>
    <row r="19" spans="1:11" s="407" customFormat="1" ht="25.5" thickBot="1" x14ac:dyDescent="0.35">
      <c r="A19" s="418"/>
      <c r="B19" s="437" t="s">
        <v>579</v>
      </c>
      <c r="C19" s="438">
        <v>14</v>
      </c>
      <c r="D19" s="439" t="s">
        <v>535</v>
      </c>
      <c r="E19" s="440">
        <v>45.113600000000005</v>
      </c>
      <c r="F19" s="441">
        <f t="shared" si="1"/>
        <v>631.59040000000005</v>
      </c>
      <c r="G19" s="431" t="s">
        <v>580</v>
      </c>
      <c r="K19" s="417"/>
    </row>
    <row r="20" spans="1:11" s="407" customFormat="1" ht="25.5" thickBot="1" x14ac:dyDescent="0.35">
      <c r="A20" s="418"/>
      <c r="B20" s="437" t="s">
        <v>581</v>
      </c>
      <c r="C20" s="438">
        <v>103</v>
      </c>
      <c r="D20" s="439" t="s">
        <v>535</v>
      </c>
      <c r="E20" s="440">
        <v>45.113600000000005</v>
      </c>
      <c r="F20" s="441">
        <f t="shared" si="1"/>
        <v>4646.7008000000005</v>
      </c>
      <c r="G20" s="431" t="s">
        <v>580</v>
      </c>
      <c r="K20" s="417"/>
    </row>
    <row r="21" spans="1:11" s="407" customFormat="1" ht="25.5" thickBot="1" x14ac:dyDescent="0.35">
      <c r="A21" s="418"/>
      <c r="B21" s="437" t="s">
        <v>582</v>
      </c>
      <c r="C21" s="442">
        <v>260</v>
      </c>
      <c r="D21" s="439" t="s">
        <v>535</v>
      </c>
      <c r="E21" s="440">
        <v>45.113600000000005</v>
      </c>
      <c r="F21" s="441">
        <f t="shared" si="1"/>
        <v>11729.536000000002</v>
      </c>
      <c r="G21" s="431" t="s">
        <v>580</v>
      </c>
      <c r="K21" s="417"/>
    </row>
    <row r="22" spans="1:11" s="407" customFormat="1" ht="25" x14ac:dyDescent="0.3">
      <c r="A22" s="418"/>
      <c r="B22" s="436" t="s">
        <v>583</v>
      </c>
      <c r="C22" s="412">
        <v>166</v>
      </c>
      <c r="D22" s="413" t="s">
        <v>535</v>
      </c>
      <c r="E22" s="414">
        <v>12.72</v>
      </c>
      <c r="F22" s="415">
        <f t="shared" si="1"/>
        <v>2111.52</v>
      </c>
      <c r="G22" s="416" t="s">
        <v>578</v>
      </c>
      <c r="K22" s="417"/>
    </row>
    <row r="23" spans="1:11" s="407" customFormat="1" ht="25.5" thickBot="1" x14ac:dyDescent="0.35">
      <c r="A23" s="418"/>
      <c r="B23" s="437" t="s">
        <v>584</v>
      </c>
      <c r="C23" s="438">
        <v>166</v>
      </c>
      <c r="D23" s="439" t="s">
        <v>535</v>
      </c>
      <c r="E23" s="440">
        <v>45.113600000000005</v>
      </c>
      <c r="F23" s="441">
        <f t="shared" si="1"/>
        <v>7488.8576000000012</v>
      </c>
      <c r="G23" s="431" t="s">
        <v>580</v>
      </c>
      <c r="K23" s="417"/>
    </row>
    <row r="24" spans="1:11" s="407" customFormat="1" ht="14" x14ac:dyDescent="0.3">
      <c r="A24" s="418"/>
      <c r="B24" s="443" t="s">
        <v>585</v>
      </c>
      <c r="C24" s="444">
        <v>217</v>
      </c>
      <c r="D24" s="445" t="s">
        <v>535</v>
      </c>
      <c r="E24" s="446">
        <v>12.72</v>
      </c>
      <c r="F24" s="447">
        <f t="shared" si="1"/>
        <v>2760.2400000000002</v>
      </c>
      <c r="G24" s="448"/>
      <c r="K24" s="417"/>
    </row>
    <row r="25" spans="1:11" s="407" customFormat="1" ht="25" x14ac:dyDescent="0.3">
      <c r="A25" s="418"/>
      <c r="B25" s="760" t="s">
        <v>586</v>
      </c>
      <c r="C25" s="756">
        <v>218</v>
      </c>
      <c r="D25" s="757" t="s">
        <v>535</v>
      </c>
      <c r="E25" s="758">
        <v>57.24</v>
      </c>
      <c r="F25" s="423">
        <f t="shared" si="1"/>
        <v>12478.32</v>
      </c>
      <c r="G25" s="449" t="s">
        <v>587</v>
      </c>
      <c r="K25" s="417"/>
    </row>
    <row r="26" spans="1:11" s="407" customFormat="1" ht="14" x14ac:dyDescent="0.3">
      <c r="A26" s="418"/>
      <c r="B26" s="755" t="s">
        <v>588</v>
      </c>
      <c r="C26" s="756">
        <v>1</v>
      </c>
      <c r="D26" s="757" t="s">
        <v>541</v>
      </c>
      <c r="E26" s="758">
        <v>3180</v>
      </c>
      <c r="F26" s="423">
        <f t="shared" si="1"/>
        <v>3180</v>
      </c>
      <c r="G26" s="449"/>
      <c r="K26" s="417"/>
    </row>
    <row r="27" spans="1:11" s="407" customFormat="1" ht="14" x14ac:dyDescent="0.3">
      <c r="A27" s="418"/>
      <c r="B27" s="755" t="s">
        <v>540</v>
      </c>
      <c r="C27" s="756">
        <v>1</v>
      </c>
      <c r="D27" s="757" t="s">
        <v>541</v>
      </c>
      <c r="E27" s="758">
        <v>21200</v>
      </c>
      <c r="F27" s="423">
        <f>C27*E27</f>
        <v>21200</v>
      </c>
      <c r="G27" s="449"/>
      <c r="K27" s="417"/>
    </row>
    <row r="28" spans="1:11" s="407" customFormat="1" thickBot="1" x14ac:dyDescent="0.35">
      <c r="A28" s="425"/>
      <c r="B28" s="426" t="s">
        <v>527</v>
      </c>
      <c r="C28" s="427"/>
      <c r="D28" s="428"/>
      <c r="E28" s="429">
        <v>0</v>
      </c>
      <c r="F28" s="430">
        <f>SUM(F18:F27)</f>
        <v>66404.844800000006</v>
      </c>
      <c r="G28" s="431"/>
      <c r="K28" s="417"/>
    </row>
    <row r="29" spans="1:11" s="407" customFormat="1" ht="14" x14ac:dyDescent="0.3">
      <c r="A29" s="450" t="s">
        <v>542</v>
      </c>
      <c r="B29" s="419" t="s">
        <v>543</v>
      </c>
      <c r="C29" s="434"/>
      <c r="D29" s="421" t="s">
        <v>531</v>
      </c>
      <c r="E29" s="446">
        <v>2.12</v>
      </c>
      <c r="F29" s="415">
        <f t="shared" si="1"/>
        <v>0</v>
      </c>
      <c r="G29" s="416"/>
      <c r="K29" s="417"/>
    </row>
    <row r="30" spans="1:11" s="407" customFormat="1" ht="14" x14ac:dyDescent="0.3">
      <c r="A30" s="450"/>
      <c r="B30" s="451" t="s">
        <v>544</v>
      </c>
      <c r="C30" s="444"/>
      <c r="D30" s="445" t="s">
        <v>531</v>
      </c>
      <c r="E30" s="446">
        <v>15.9954</v>
      </c>
      <c r="F30" s="423">
        <f t="shared" si="1"/>
        <v>0</v>
      </c>
      <c r="G30" s="424"/>
      <c r="K30" s="417"/>
    </row>
    <row r="31" spans="1:11" s="407" customFormat="1" ht="14" x14ac:dyDescent="0.3">
      <c r="A31" s="450"/>
      <c r="B31" s="419" t="s">
        <v>545</v>
      </c>
      <c r="C31" s="434">
        <v>370</v>
      </c>
      <c r="D31" s="421" t="s">
        <v>531</v>
      </c>
      <c r="E31" s="422">
        <v>456.86</v>
      </c>
      <c r="F31" s="423">
        <f t="shared" si="1"/>
        <v>169038.2</v>
      </c>
      <c r="G31" s="424" t="s">
        <v>589</v>
      </c>
      <c r="K31" s="417"/>
    </row>
    <row r="32" spans="1:11" s="407" customFormat="1" ht="14" x14ac:dyDescent="0.3">
      <c r="A32" s="450"/>
      <c r="B32" s="759" t="s">
        <v>546</v>
      </c>
      <c r="C32" s="756"/>
      <c r="D32" s="757" t="s">
        <v>531</v>
      </c>
      <c r="E32" s="758">
        <v>6.36</v>
      </c>
      <c r="F32" s="423">
        <f t="shared" si="1"/>
        <v>0</v>
      </c>
      <c r="G32" s="449"/>
      <c r="K32" s="417"/>
    </row>
    <row r="33" spans="1:11" s="407" customFormat="1" ht="14" x14ac:dyDescent="0.3">
      <c r="A33" s="450"/>
      <c r="B33" s="759" t="s">
        <v>224</v>
      </c>
      <c r="C33" s="756">
        <v>1</v>
      </c>
      <c r="D33" s="757" t="s">
        <v>430</v>
      </c>
      <c r="E33" s="758">
        <v>2650000</v>
      </c>
      <c r="F33" s="423">
        <f t="shared" si="1"/>
        <v>2650000</v>
      </c>
      <c r="G33" s="449" t="s">
        <v>547</v>
      </c>
      <c r="K33" s="417"/>
    </row>
    <row r="34" spans="1:11" s="407" customFormat="1" thickBot="1" x14ac:dyDescent="0.35">
      <c r="A34" s="425"/>
      <c r="B34" s="426" t="s">
        <v>527</v>
      </c>
      <c r="C34" s="452"/>
      <c r="D34" s="428"/>
      <c r="E34" s="429">
        <v>0</v>
      </c>
      <c r="F34" s="430">
        <f>SUM(F29:F33)</f>
        <v>2819038.2</v>
      </c>
      <c r="G34" s="431"/>
      <c r="K34" s="417"/>
    </row>
    <row r="35" spans="1:11" s="407" customFormat="1" ht="26" x14ac:dyDescent="0.3">
      <c r="A35" s="453" t="s">
        <v>548</v>
      </c>
      <c r="B35" s="454" t="s">
        <v>549</v>
      </c>
      <c r="C35" s="455"/>
      <c r="D35" s="456"/>
      <c r="E35" s="457">
        <v>0</v>
      </c>
      <c r="F35" s="415"/>
      <c r="G35" s="458"/>
      <c r="K35" s="417"/>
    </row>
    <row r="36" spans="1:11" s="407" customFormat="1" ht="14" x14ac:dyDescent="0.3">
      <c r="A36" s="450"/>
      <c r="B36" s="451" t="s">
        <v>551</v>
      </c>
      <c r="C36" s="459">
        <v>4</v>
      </c>
      <c r="D36" s="460"/>
      <c r="E36" s="461">
        <v>0</v>
      </c>
      <c r="F36" s="447"/>
      <c r="G36" s="462"/>
      <c r="K36" s="417"/>
    </row>
    <row r="37" spans="1:11" s="407" customFormat="1" ht="14" x14ac:dyDescent="0.3">
      <c r="A37" s="450"/>
      <c r="B37" s="451" t="s">
        <v>552</v>
      </c>
      <c r="C37" s="459">
        <v>25</v>
      </c>
      <c r="D37" s="460"/>
      <c r="E37" s="461">
        <v>0</v>
      </c>
      <c r="F37" s="447"/>
      <c r="G37" s="448" t="s">
        <v>590</v>
      </c>
      <c r="K37" s="417"/>
    </row>
    <row r="38" spans="1:11" s="407" customFormat="1" ht="14" x14ac:dyDescent="0.3">
      <c r="A38" s="450"/>
      <c r="B38" s="451" t="s">
        <v>553</v>
      </c>
      <c r="C38" s="459">
        <v>6</v>
      </c>
      <c r="D38" s="460"/>
      <c r="E38" s="461">
        <v>0</v>
      </c>
      <c r="F38" s="447"/>
      <c r="G38" s="448"/>
      <c r="K38" s="417"/>
    </row>
    <row r="39" spans="1:11" s="407" customFormat="1" thickBot="1" x14ac:dyDescent="0.35">
      <c r="A39" s="425"/>
      <c r="B39" s="426" t="s">
        <v>527</v>
      </c>
      <c r="C39" s="427"/>
      <c r="D39" s="428"/>
      <c r="E39" s="429">
        <v>0</v>
      </c>
      <c r="F39" s="435">
        <v>6000000</v>
      </c>
      <c r="G39" s="431" t="s">
        <v>538</v>
      </c>
      <c r="K39" s="417"/>
    </row>
    <row r="40" spans="1:11" s="407" customFormat="1" ht="14" x14ac:dyDescent="0.3">
      <c r="A40" s="450" t="s">
        <v>554</v>
      </c>
      <c r="B40" s="451" t="s">
        <v>227</v>
      </c>
      <c r="C40" s="459">
        <v>24280</v>
      </c>
      <c r="D40" s="445" t="s">
        <v>555</v>
      </c>
      <c r="E40" s="446">
        <v>318</v>
      </c>
      <c r="F40" s="447">
        <f t="shared" si="1"/>
        <v>7721040</v>
      </c>
      <c r="G40" s="416"/>
      <c r="K40" s="417"/>
    </row>
    <row r="41" spans="1:11" s="407" customFormat="1" ht="14" x14ac:dyDescent="0.3">
      <c r="A41" s="450"/>
      <c r="B41" s="451" t="s">
        <v>228</v>
      </c>
      <c r="C41" s="459">
        <v>14934</v>
      </c>
      <c r="D41" s="445" t="s">
        <v>294</v>
      </c>
      <c r="E41" s="446">
        <v>26.5</v>
      </c>
      <c r="F41" s="423">
        <f t="shared" si="1"/>
        <v>395751</v>
      </c>
      <c r="G41" s="448"/>
      <c r="K41" s="417"/>
    </row>
    <row r="42" spans="1:11" s="407" customFormat="1" ht="14" x14ac:dyDescent="0.3">
      <c r="A42" s="450"/>
      <c r="B42" s="419" t="s">
        <v>229</v>
      </c>
      <c r="C42" s="420">
        <v>9574</v>
      </c>
      <c r="D42" s="421" t="s">
        <v>294</v>
      </c>
      <c r="E42" s="422">
        <v>28.62</v>
      </c>
      <c r="F42" s="423">
        <f t="shared" si="1"/>
        <v>274007.88</v>
      </c>
      <c r="G42" s="424"/>
      <c r="K42" s="417"/>
    </row>
    <row r="43" spans="1:11" s="407" customFormat="1" ht="14" x14ac:dyDescent="0.3">
      <c r="A43" s="450"/>
      <c r="B43" s="419" t="s">
        <v>556</v>
      </c>
      <c r="C43" s="420">
        <v>83</v>
      </c>
      <c r="D43" s="421" t="s">
        <v>555</v>
      </c>
      <c r="E43" s="422">
        <v>19.080000000000002</v>
      </c>
      <c r="F43" s="423">
        <f t="shared" si="1"/>
        <v>1583.64</v>
      </c>
      <c r="G43" s="424" t="s">
        <v>591</v>
      </c>
      <c r="K43" s="417"/>
    </row>
    <row r="44" spans="1:11" s="407" customFormat="1" ht="14" x14ac:dyDescent="0.3">
      <c r="A44" s="450"/>
      <c r="B44" s="419" t="s">
        <v>557</v>
      </c>
      <c r="C44" s="434">
        <v>725</v>
      </c>
      <c r="D44" s="421" t="s">
        <v>555</v>
      </c>
      <c r="E44" s="422">
        <v>14.84</v>
      </c>
      <c r="F44" s="423">
        <f t="shared" si="1"/>
        <v>10759</v>
      </c>
      <c r="G44" s="424"/>
      <c r="K44" s="417"/>
    </row>
    <row r="45" spans="1:11" s="407" customFormat="1" ht="14" x14ac:dyDescent="0.3">
      <c r="A45" s="450"/>
      <c r="B45" s="419" t="s">
        <v>558</v>
      </c>
      <c r="C45" s="434">
        <v>1</v>
      </c>
      <c r="D45" s="421" t="s">
        <v>537</v>
      </c>
      <c r="E45" s="422">
        <v>174900</v>
      </c>
      <c r="F45" s="423">
        <f t="shared" si="1"/>
        <v>174900</v>
      </c>
      <c r="G45" s="424"/>
      <c r="K45" s="417"/>
    </row>
    <row r="46" spans="1:11" s="407" customFormat="1" ht="14" x14ac:dyDescent="0.3">
      <c r="A46" s="450"/>
      <c r="B46" s="419" t="s">
        <v>230</v>
      </c>
      <c r="C46" s="434">
        <v>7</v>
      </c>
      <c r="D46" s="421" t="s">
        <v>537</v>
      </c>
      <c r="E46" s="422">
        <v>164300</v>
      </c>
      <c r="F46" s="423">
        <f t="shared" si="1"/>
        <v>1150100</v>
      </c>
      <c r="G46" s="424" t="s">
        <v>592</v>
      </c>
      <c r="K46" s="417"/>
    </row>
    <row r="47" spans="1:11" s="407" customFormat="1" ht="14" x14ac:dyDescent="0.3">
      <c r="A47" s="450"/>
      <c r="B47" s="419" t="s">
        <v>232</v>
      </c>
      <c r="C47" s="434">
        <v>6</v>
      </c>
      <c r="D47" s="421" t="s">
        <v>537</v>
      </c>
      <c r="E47" s="422">
        <v>164300</v>
      </c>
      <c r="F47" s="423">
        <f t="shared" si="1"/>
        <v>985800</v>
      </c>
      <c r="G47" s="424"/>
      <c r="K47" s="417"/>
    </row>
    <row r="48" spans="1:11" s="407" customFormat="1" thickBot="1" x14ac:dyDescent="0.35">
      <c r="A48" s="425"/>
      <c r="B48" s="426" t="s">
        <v>527</v>
      </c>
      <c r="C48" s="427"/>
      <c r="D48" s="428"/>
      <c r="E48" s="429">
        <v>0</v>
      </c>
      <c r="F48" s="430">
        <f>SUM(F40:F47)</f>
        <v>10713941.520000001</v>
      </c>
      <c r="G48" s="431"/>
      <c r="K48" s="417"/>
    </row>
    <row r="49" spans="1:11" s="407" customFormat="1" thickBot="1" x14ac:dyDescent="0.35">
      <c r="A49" s="463" t="s">
        <v>559</v>
      </c>
      <c r="B49" s="464" t="s">
        <v>527</v>
      </c>
      <c r="C49" s="465"/>
      <c r="D49" s="466"/>
      <c r="E49" s="467"/>
      <c r="F49" s="468">
        <v>400000</v>
      </c>
      <c r="G49" s="469" t="s">
        <v>560</v>
      </c>
      <c r="K49" s="417"/>
    </row>
    <row r="50" spans="1:11" s="407" customFormat="1" ht="14" x14ac:dyDescent="0.3">
      <c r="A50" s="470" t="s">
        <v>561</v>
      </c>
      <c r="B50" s="451" t="s">
        <v>562</v>
      </c>
      <c r="C50" s="459">
        <v>0</v>
      </c>
      <c r="D50" s="445" t="s">
        <v>521</v>
      </c>
      <c r="E50" s="446"/>
      <c r="F50" s="447">
        <f t="shared" si="1"/>
        <v>0</v>
      </c>
      <c r="G50" s="448"/>
      <c r="K50" s="417"/>
    </row>
    <row r="51" spans="1:11" s="407" customFormat="1" thickBot="1" x14ac:dyDescent="0.35">
      <c r="A51" s="471"/>
      <c r="B51" s="426" t="s">
        <v>527</v>
      </c>
      <c r="C51" s="427"/>
      <c r="D51" s="428"/>
      <c r="E51" s="429"/>
      <c r="F51" s="430">
        <f>SUM(F50:F50)</f>
        <v>0</v>
      </c>
      <c r="G51" s="431"/>
      <c r="K51" s="417"/>
    </row>
    <row r="52" spans="1:11" x14ac:dyDescent="0.35">
      <c r="A52" s="472"/>
      <c r="B52" s="473" t="s">
        <v>563</v>
      </c>
      <c r="C52" s="474"/>
      <c r="D52" s="475"/>
      <c r="E52" s="476"/>
      <c r="F52" s="477">
        <f>(SUM(F6:F51))/2</f>
        <v>21719216.8048</v>
      </c>
      <c r="G52" s="478"/>
      <c r="K52" s="417"/>
    </row>
    <row r="53" spans="1:11" ht="25" x14ac:dyDescent="0.35">
      <c r="A53" s="479"/>
      <c r="B53" s="480" t="s">
        <v>564</v>
      </c>
      <c r="C53" s="481"/>
      <c r="D53" s="482"/>
      <c r="E53" s="483">
        <v>0.25</v>
      </c>
      <c r="F53" s="484">
        <f>F52*E53</f>
        <v>5429804.2012</v>
      </c>
      <c r="G53" s="485" t="s">
        <v>565</v>
      </c>
      <c r="K53" s="417"/>
    </row>
    <row r="54" spans="1:11" x14ac:dyDescent="0.35">
      <c r="A54" s="479"/>
      <c r="B54" s="486" t="s">
        <v>527</v>
      </c>
      <c r="C54" s="481"/>
      <c r="D54" s="487"/>
      <c r="E54" s="488"/>
      <c r="F54" s="489">
        <f>F52+F53</f>
        <v>27149021.006000001</v>
      </c>
      <c r="G54" s="490"/>
      <c r="K54" s="417"/>
    </row>
    <row r="55" spans="1:11" x14ac:dyDescent="0.35">
      <c r="A55" s="479"/>
      <c r="B55" s="491" t="s">
        <v>566</v>
      </c>
      <c r="C55" s="481"/>
      <c r="D55" s="487"/>
      <c r="E55" s="488">
        <v>0.03</v>
      </c>
      <c r="F55" s="492">
        <f>F54*E55</f>
        <v>814470.63017999998</v>
      </c>
      <c r="G55" s="493"/>
      <c r="K55" s="417"/>
    </row>
    <row r="56" spans="1:11" x14ac:dyDescent="0.35">
      <c r="A56" s="479"/>
      <c r="B56" s="491" t="s">
        <v>567</v>
      </c>
      <c r="C56" s="481"/>
      <c r="D56" s="487"/>
      <c r="E56" s="488">
        <v>0.05</v>
      </c>
      <c r="F56" s="492">
        <f>F54*E56</f>
        <v>1357451.0503000002</v>
      </c>
      <c r="G56" s="493"/>
      <c r="K56" s="417"/>
    </row>
    <row r="57" spans="1:11" x14ac:dyDescent="0.35">
      <c r="A57" s="479"/>
      <c r="B57" s="491" t="s">
        <v>568</v>
      </c>
      <c r="C57" s="481"/>
      <c r="D57" s="487"/>
      <c r="E57" s="488">
        <v>0.01</v>
      </c>
      <c r="F57" s="492">
        <f>F54*E57</f>
        <v>271490.21006000001</v>
      </c>
      <c r="G57" s="494" t="s">
        <v>569</v>
      </c>
      <c r="K57" s="417"/>
    </row>
    <row r="58" spans="1:11" x14ac:dyDescent="0.35">
      <c r="A58" s="479"/>
      <c r="B58" s="491" t="s">
        <v>570</v>
      </c>
      <c r="C58" s="481"/>
      <c r="D58" s="487"/>
      <c r="E58" s="488">
        <v>1.7999999999999999E-2</v>
      </c>
      <c r="F58" s="492">
        <f>F54*E58</f>
        <v>488682.37810799998</v>
      </c>
      <c r="G58" s="493"/>
      <c r="K58" s="417"/>
    </row>
    <row r="59" spans="1:11" ht="15" thickBot="1" x14ac:dyDescent="0.4">
      <c r="A59" s="495"/>
      <c r="B59" s="496" t="s">
        <v>571</v>
      </c>
      <c r="C59" s="497"/>
      <c r="D59" s="497"/>
      <c r="E59" s="498"/>
      <c r="F59" s="499">
        <f>SUM(F54:F58)</f>
        <v>30081115.274648</v>
      </c>
      <c r="G59" s="500" t="s">
        <v>572</v>
      </c>
      <c r="K59" s="417"/>
    </row>
    <row r="60" spans="1:11" x14ac:dyDescent="0.35">
      <c r="K60" s="417"/>
    </row>
    <row r="62" spans="1:11" x14ac:dyDescent="0.35">
      <c r="G62" s="398" t="s">
        <v>593</v>
      </c>
    </row>
    <row r="63" spans="1:11" x14ac:dyDescent="0.35">
      <c r="G63" s="14" t="s">
        <v>254</v>
      </c>
    </row>
    <row r="64" spans="1:11" x14ac:dyDescent="0.35">
      <c r="G64" s="14" t="s">
        <v>256</v>
      </c>
    </row>
    <row r="65" spans="7:7" x14ac:dyDescent="0.35">
      <c r="G65" s="14" t="s">
        <v>257</v>
      </c>
    </row>
    <row r="66" spans="7:7" x14ac:dyDescent="0.35">
      <c r="G66" s="14" t="s">
        <v>258</v>
      </c>
    </row>
    <row r="67" spans="7:7" x14ac:dyDescent="0.35">
      <c r="G67" s="14" t="s">
        <v>265</v>
      </c>
    </row>
    <row r="68" spans="7:7" x14ac:dyDescent="0.35">
      <c r="G68" s="14" t="s">
        <v>267</v>
      </c>
    </row>
    <row r="69" spans="7:7" x14ac:dyDescent="0.35">
      <c r="G69" s="14" t="s">
        <v>269</v>
      </c>
    </row>
  </sheetData>
  <pageMargins left="0.7" right="0.7" top="0.75" bottom="0.75" header="0.3" footer="0.3"/>
  <pageSetup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B21BE-F29C-415D-A51B-40F9C31C89A0}">
  <sheetPr codeName="Sheet17">
    <tabColor rgb="FF7030A0"/>
  </sheetPr>
  <dimension ref="A1:O51"/>
  <sheetViews>
    <sheetView workbookViewId="0">
      <selection activeCell="M19" sqref="M19"/>
    </sheetView>
  </sheetViews>
  <sheetFormatPr defaultColWidth="8.81640625" defaultRowHeight="13" x14ac:dyDescent="0.3"/>
  <cols>
    <col min="1" max="3" width="3.453125" style="527" customWidth="1"/>
    <col min="4" max="4" width="9.453125" style="528" bestFit="1" customWidth="1"/>
    <col min="5" max="8" width="25.453125" style="527" hidden="1" customWidth="1"/>
    <col min="9" max="12" width="25.453125" style="527" customWidth="1"/>
    <col min="13" max="14" width="18.54296875" style="528" customWidth="1"/>
    <col min="15" max="16384" width="8.81640625" style="527"/>
  </cols>
  <sheetData>
    <row r="1" spans="1:15" s="524" customFormat="1" x14ac:dyDescent="0.3">
      <c r="A1" s="524" t="s">
        <v>27</v>
      </c>
      <c r="D1" s="525"/>
      <c r="M1" s="525"/>
      <c r="N1" s="525"/>
    </row>
    <row r="3" spans="1:15" x14ac:dyDescent="0.3">
      <c r="A3" s="526" t="s">
        <v>594</v>
      </c>
    </row>
    <row r="4" spans="1:15" x14ac:dyDescent="0.3">
      <c r="A4" s="526" t="s">
        <v>595</v>
      </c>
    </row>
    <row r="5" spans="1:15" x14ac:dyDescent="0.3">
      <c r="A5" s="526" t="s">
        <v>596</v>
      </c>
    </row>
    <row r="7" spans="1:15" s="529" customFormat="1" x14ac:dyDescent="0.3">
      <c r="B7" s="530" t="s">
        <v>597</v>
      </c>
      <c r="D7" s="531"/>
      <c r="M7" s="531"/>
      <c r="N7" s="531"/>
    </row>
    <row r="8" spans="1:15" ht="13.5" thickBot="1" x14ac:dyDescent="0.35"/>
    <row r="9" spans="1:15" x14ac:dyDescent="0.3">
      <c r="I9" s="532" t="s">
        <v>598</v>
      </c>
      <c r="J9" s="533" t="s">
        <v>599</v>
      </c>
      <c r="K9" s="533" t="s">
        <v>600</v>
      </c>
      <c r="L9" s="534" t="s">
        <v>601</v>
      </c>
    </row>
    <row r="10" spans="1:15" x14ac:dyDescent="0.3">
      <c r="I10" s="536">
        <v>1</v>
      </c>
      <c r="J10" s="539" t="s">
        <v>602</v>
      </c>
      <c r="K10" s="540">
        <v>12</v>
      </c>
      <c r="L10" s="541" t="s">
        <v>603</v>
      </c>
    </row>
    <row r="11" spans="1:15" x14ac:dyDescent="0.3">
      <c r="I11" s="537">
        <v>2</v>
      </c>
      <c r="J11" s="542" t="s">
        <v>604</v>
      </c>
      <c r="K11" s="543">
        <v>2</v>
      </c>
      <c r="L11" s="544" t="s">
        <v>605</v>
      </c>
      <c r="N11" s="528">
        <v>294</v>
      </c>
    </row>
    <row r="12" spans="1:15" x14ac:dyDescent="0.3">
      <c r="I12" s="537">
        <v>3</v>
      </c>
      <c r="J12" s="542" t="s">
        <v>606</v>
      </c>
      <c r="K12" s="543">
        <v>3</v>
      </c>
      <c r="L12" s="544" t="s">
        <v>607</v>
      </c>
      <c r="N12" s="724">
        <f>I21+'Rail FAF Data'!I21</f>
        <v>2520.9134550000008</v>
      </c>
      <c r="O12" s="725">
        <f>N11/N12</f>
        <v>0.11662439240699753</v>
      </c>
    </row>
    <row r="13" spans="1:15" ht="13.5" thickBot="1" x14ac:dyDescent="0.35">
      <c r="I13" s="538">
        <v>4</v>
      </c>
      <c r="J13" s="545" t="s">
        <v>608</v>
      </c>
      <c r="K13" s="546">
        <v>1</v>
      </c>
      <c r="L13" s="547" t="s">
        <v>178</v>
      </c>
    </row>
    <row r="15" spans="1:15" s="529" customFormat="1" x14ac:dyDescent="0.3">
      <c r="B15" s="530" t="s">
        <v>609</v>
      </c>
      <c r="D15" s="531"/>
      <c r="M15" s="531"/>
      <c r="N15" s="531"/>
    </row>
    <row r="16" spans="1:15" ht="13.5" thickBot="1" x14ac:dyDescent="0.35"/>
    <row r="17" spans="4:14" x14ac:dyDescent="0.3">
      <c r="D17" s="550" t="s">
        <v>430</v>
      </c>
      <c r="E17" s="551" t="s">
        <v>610</v>
      </c>
      <c r="F17" s="551" t="s">
        <v>611</v>
      </c>
      <c r="G17" s="551"/>
      <c r="H17" s="551"/>
      <c r="I17" s="551"/>
      <c r="J17" s="551"/>
      <c r="K17" s="551"/>
      <c r="L17" s="551"/>
      <c r="M17" s="568" t="s">
        <v>612</v>
      </c>
      <c r="N17" s="569"/>
    </row>
    <row r="18" spans="4:14" x14ac:dyDescent="0.3">
      <c r="D18" s="548" t="s">
        <v>613</v>
      </c>
      <c r="E18" s="535" t="s">
        <v>614</v>
      </c>
      <c r="F18" s="535" t="s">
        <v>615</v>
      </c>
      <c r="G18" s="535" t="s">
        <v>616</v>
      </c>
      <c r="H18" s="535" t="s">
        <v>617</v>
      </c>
      <c r="I18" s="535" t="s">
        <v>618</v>
      </c>
      <c r="J18" s="535" t="s">
        <v>619</v>
      </c>
      <c r="K18" s="535" t="s">
        <v>620</v>
      </c>
      <c r="L18" s="549" t="s">
        <v>621</v>
      </c>
      <c r="M18" s="549" t="s">
        <v>622</v>
      </c>
      <c r="N18" s="549" t="s">
        <v>623</v>
      </c>
    </row>
    <row r="19" spans="4:14" ht="15.5" x14ac:dyDescent="0.35">
      <c r="D19" s="553">
        <v>11</v>
      </c>
      <c r="E19" s="554">
        <v>566.25861100000031</v>
      </c>
      <c r="F19" s="554">
        <v>141.75385600000007</v>
      </c>
      <c r="G19" s="554">
        <v>577.23992899999996</v>
      </c>
      <c r="H19" s="554">
        <v>145.15937899999997</v>
      </c>
      <c r="I19" s="554">
        <v>651.1599020000001</v>
      </c>
      <c r="J19" s="554">
        <v>163.74747499999998</v>
      </c>
      <c r="K19" s="554">
        <v>728.35331299999939</v>
      </c>
      <c r="L19" s="555">
        <v>183.94931099999999</v>
      </c>
      <c r="M19" s="631">
        <f>IFERROR(IF(OR(E19&lt;1,E19=0),"n/a",((K19/E19)^(1/(2030-2022)))-1),"n/a")</f>
        <v>3.1967238428903366E-2</v>
      </c>
      <c r="N19" s="576">
        <f t="shared" ref="N19:N50" si="0">IFERROR(IF(OR(F19&lt;1,F19=0),"n/a",((L19/F19)^(1/(2030-2022)))-1),"n/a")</f>
        <v>3.310725289301808E-2</v>
      </c>
    </row>
    <row r="20" spans="4:14" x14ac:dyDescent="0.3">
      <c r="D20" s="556">
        <v>12</v>
      </c>
      <c r="E20" s="557">
        <v>667.96593699999983</v>
      </c>
      <c r="F20" s="557">
        <v>13.728698999999999</v>
      </c>
      <c r="G20" s="557">
        <v>527.45594699999992</v>
      </c>
      <c r="H20" s="557">
        <v>10.806623</v>
      </c>
      <c r="I20" s="557">
        <v>434.88530500000019</v>
      </c>
      <c r="J20" s="557">
        <v>8.8315090000000041</v>
      </c>
      <c r="K20" s="557">
        <v>3268.8625889999998</v>
      </c>
      <c r="L20" s="558">
        <v>68.058105999999995</v>
      </c>
      <c r="M20" s="575">
        <f t="shared" ref="M20:M50" si="1">IFERROR(IF(OR(E20&lt;1,E20=0),"n/a",((K20/E20)^(1/(2030-2022)))-1),"n/a")</f>
        <v>0.21956595877065688</v>
      </c>
      <c r="N20" s="575">
        <f t="shared" si="0"/>
        <v>0.22153610918711331</v>
      </c>
    </row>
    <row r="21" spans="4:14" x14ac:dyDescent="0.3">
      <c r="D21" s="556">
        <v>19</v>
      </c>
      <c r="E21" s="557">
        <v>3157.2563799999989</v>
      </c>
      <c r="F21" s="557">
        <v>632.17250200000012</v>
      </c>
      <c r="G21" s="557">
        <v>2597.1104209999999</v>
      </c>
      <c r="H21" s="557">
        <v>526.37463200000002</v>
      </c>
      <c r="I21" s="557">
        <v>2227.0689240000011</v>
      </c>
      <c r="J21" s="557">
        <v>446.92813299999995</v>
      </c>
      <c r="K21" s="557">
        <v>13492.804718000001</v>
      </c>
      <c r="L21" s="558">
        <v>2815.794346000001</v>
      </c>
      <c r="M21" s="575">
        <f t="shared" si="1"/>
        <v>0.19908245429644156</v>
      </c>
      <c r="N21" s="575">
        <f t="shared" si="0"/>
        <v>0.20530141503322485</v>
      </c>
    </row>
    <row r="22" spans="4:14" x14ac:dyDescent="0.3">
      <c r="D22" s="556">
        <v>50</v>
      </c>
      <c r="E22" s="557">
        <v>22.058955000000005</v>
      </c>
      <c r="F22" s="557">
        <v>10.509972000000001</v>
      </c>
      <c r="G22" s="557">
        <v>11.884838999999998</v>
      </c>
      <c r="H22" s="557">
        <v>5.7821430000000014</v>
      </c>
      <c r="I22" s="557">
        <v>8.3868910000000021</v>
      </c>
      <c r="J22" s="557">
        <v>4.0610470000000003</v>
      </c>
      <c r="K22" s="557">
        <v>76.358087999999995</v>
      </c>
      <c r="L22" s="558">
        <v>36.873044</v>
      </c>
      <c r="M22" s="575">
        <f t="shared" si="1"/>
        <v>0.16790835094420209</v>
      </c>
      <c r="N22" s="575">
        <f t="shared" si="0"/>
        <v>0.16987222220341969</v>
      </c>
    </row>
    <row r="23" spans="4:14" x14ac:dyDescent="0.3">
      <c r="D23" s="556">
        <v>61</v>
      </c>
      <c r="E23" s="557">
        <v>9.414807999999999</v>
      </c>
      <c r="F23" s="557">
        <v>18.820479000000002</v>
      </c>
      <c r="G23" s="557">
        <v>14.678628</v>
      </c>
      <c r="H23" s="557">
        <v>29.404083</v>
      </c>
      <c r="I23" s="557">
        <v>15.232319999999998</v>
      </c>
      <c r="J23" s="557">
        <v>30.460411999999998</v>
      </c>
      <c r="K23" s="557">
        <v>8.1176259999999996</v>
      </c>
      <c r="L23" s="558">
        <v>16.259823000000004</v>
      </c>
      <c r="M23" s="575">
        <f t="shared" si="1"/>
        <v>-1.8360114000431138E-2</v>
      </c>
      <c r="N23" s="575">
        <f t="shared" si="0"/>
        <v>-1.8114961166747934E-2</v>
      </c>
    </row>
    <row r="24" spans="4:14" x14ac:dyDescent="0.3">
      <c r="D24" s="556">
        <v>63</v>
      </c>
      <c r="E24" s="557">
        <v>0.76238600000000012</v>
      </c>
      <c r="F24" s="557">
        <v>1.478167</v>
      </c>
      <c r="G24" s="557">
        <v>2.4784799999999998</v>
      </c>
      <c r="H24" s="557">
        <v>4.8054560000000004</v>
      </c>
      <c r="I24" s="557">
        <v>1.8094259999999995</v>
      </c>
      <c r="J24" s="557">
        <v>3.5082449999999996</v>
      </c>
      <c r="K24" s="557">
        <v>1.2627690000000003</v>
      </c>
      <c r="L24" s="558">
        <v>2.4483440000000001</v>
      </c>
      <c r="M24" s="575" t="str">
        <f t="shared" si="1"/>
        <v>n/a</v>
      </c>
      <c r="N24" s="575">
        <f t="shared" si="0"/>
        <v>6.5107926935970895E-2</v>
      </c>
    </row>
    <row r="25" spans="4:14" x14ac:dyDescent="0.3">
      <c r="D25" s="556">
        <v>64</v>
      </c>
      <c r="E25" s="557">
        <v>3.6794869999999995</v>
      </c>
      <c r="F25" s="557">
        <v>8.7295400000000019</v>
      </c>
      <c r="G25" s="557">
        <v>6.3145990000000003</v>
      </c>
      <c r="H25" s="557">
        <v>14.975995000000001</v>
      </c>
      <c r="I25" s="557">
        <v>5.1340559999999993</v>
      </c>
      <c r="J25" s="557">
        <v>12.179461999999999</v>
      </c>
      <c r="K25" s="557">
        <v>5.7609969999999997</v>
      </c>
      <c r="L25" s="558">
        <v>13.669139000000003</v>
      </c>
      <c r="M25" s="575">
        <f t="shared" si="1"/>
        <v>5.7642263703193697E-2</v>
      </c>
      <c r="N25" s="575">
        <f t="shared" si="0"/>
        <v>5.7654265076097833E-2</v>
      </c>
    </row>
    <row r="26" spans="4:14" x14ac:dyDescent="0.3">
      <c r="D26" s="556">
        <v>121</v>
      </c>
      <c r="E26" s="557">
        <v>1.451E-3</v>
      </c>
      <c r="F26" s="557">
        <v>6.2100000000000002E-4</v>
      </c>
      <c r="G26" s="557">
        <v>5.8079999999999998E-3</v>
      </c>
      <c r="H26" s="557">
        <v>2.4880000000000002E-3</v>
      </c>
      <c r="I26" s="557">
        <v>7.796E-3</v>
      </c>
      <c r="J26" s="557">
        <v>3.339E-3</v>
      </c>
      <c r="K26" s="557">
        <v>2.2370000000000001E-2</v>
      </c>
      <c r="L26" s="558">
        <v>9.5820000000000002E-3</v>
      </c>
      <c r="M26" s="575" t="str">
        <f t="shared" si="1"/>
        <v>n/a</v>
      </c>
      <c r="N26" s="575" t="str">
        <f t="shared" si="0"/>
        <v>n/a</v>
      </c>
    </row>
    <row r="27" spans="4:14" x14ac:dyDescent="0.3">
      <c r="D27" s="556">
        <v>122</v>
      </c>
      <c r="E27" s="557">
        <v>6.5290000000000001E-3</v>
      </c>
      <c r="F27" s="557">
        <v>4.8269999999999997E-3</v>
      </c>
      <c r="G27" s="557">
        <v>2.6141999999999999E-2</v>
      </c>
      <c r="H27" s="557">
        <v>1.9327E-2</v>
      </c>
      <c r="I27" s="557">
        <v>3.6005000000000002E-2</v>
      </c>
      <c r="J27" s="557">
        <v>2.6618000000000003E-2</v>
      </c>
      <c r="K27" s="557">
        <v>9.7742000000000009E-2</v>
      </c>
      <c r="L27" s="558">
        <v>7.2140999999999997E-2</v>
      </c>
      <c r="M27" s="575" t="str">
        <f t="shared" si="1"/>
        <v>n/a</v>
      </c>
      <c r="N27" s="575" t="str">
        <f t="shared" si="0"/>
        <v>n/a</v>
      </c>
    </row>
    <row r="28" spans="4:14" x14ac:dyDescent="0.3">
      <c r="D28" s="556">
        <v>123</v>
      </c>
      <c r="E28" s="557">
        <v>90.58161699999998</v>
      </c>
      <c r="F28" s="557">
        <v>44.82093900000001</v>
      </c>
      <c r="G28" s="557">
        <v>44.394325000000009</v>
      </c>
      <c r="H28" s="557">
        <v>22.083599000000007</v>
      </c>
      <c r="I28" s="557">
        <v>47.293549000000027</v>
      </c>
      <c r="J28" s="557">
        <v>23.545597999999991</v>
      </c>
      <c r="K28" s="557">
        <v>133.70921999999996</v>
      </c>
      <c r="L28" s="558">
        <v>67.529637999999977</v>
      </c>
      <c r="M28" s="575">
        <f t="shared" si="1"/>
        <v>4.9881204358112496E-2</v>
      </c>
      <c r="N28" s="575">
        <f t="shared" si="0"/>
        <v>5.2571687134118195E-2</v>
      </c>
    </row>
    <row r="29" spans="4:14" x14ac:dyDescent="0.3">
      <c r="D29" s="556">
        <v>124</v>
      </c>
      <c r="E29" s="557">
        <v>56.928687999999994</v>
      </c>
      <c r="F29" s="557">
        <v>29.138200999999999</v>
      </c>
      <c r="G29" s="557">
        <v>28.008213000000005</v>
      </c>
      <c r="H29" s="557">
        <v>14.361334000000001</v>
      </c>
      <c r="I29" s="557">
        <v>29.842986</v>
      </c>
      <c r="J29" s="557">
        <v>15.313749000000001</v>
      </c>
      <c r="K29" s="557">
        <v>89.201063000000048</v>
      </c>
      <c r="L29" s="558">
        <v>46.098260999999972</v>
      </c>
      <c r="M29" s="575">
        <f t="shared" si="1"/>
        <v>5.7742261894141445E-2</v>
      </c>
      <c r="N29" s="575">
        <f t="shared" si="0"/>
        <v>5.9016498233606551E-2</v>
      </c>
    </row>
    <row r="30" spans="4:14" x14ac:dyDescent="0.3">
      <c r="D30" s="556">
        <v>129</v>
      </c>
      <c r="E30" s="557">
        <v>136.62662400000008</v>
      </c>
      <c r="F30" s="557">
        <v>24.420544000000003</v>
      </c>
      <c r="G30" s="557">
        <v>66.887026999999961</v>
      </c>
      <c r="H30" s="557">
        <v>12.911541000000001</v>
      </c>
      <c r="I30" s="557">
        <v>71.59042700000002</v>
      </c>
      <c r="J30" s="557">
        <v>14.863842</v>
      </c>
      <c r="K30" s="557">
        <v>140.37514900000002</v>
      </c>
      <c r="L30" s="558">
        <v>40.552030000000009</v>
      </c>
      <c r="M30" s="575">
        <f t="shared" si="1"/>
        <v>3.389060112310549E-3</v>
      </c>
      <c r="N30" s="575">
        <f t="shared" si="0"/>
        <v>6.5447753856052726E-2</v>
      </c>
    </row>
    <row r="31" spans="4:14" x14ac:dyDescent="0.3">
      <c r="D31" s="556">
        <v>131</v>
      </c>
      <c r="E31" s="557">
        <v>141.574747</v>
      </c>
      <c r="F31" s="557">
        <v>47.935647000000003</v>
      </c>
      <c r="G31" s="557">
        <v>72.895082000000016</v>
      </c>
      <c r="H31" s="557">
        <v>24.743445999999995</v>
      </c>
      <c r="I31" s="557">
        <v>85.966298000000009</v>
      </c>
      <c r="J31" s="557">
        <v>29.155915999999991</v>
      </c>
      <c r="K31" s="557">
        <v>259.019903</v>
      </c>
      <c r="L31" s="558">
        <v>89.05744</v>
      </c>
      <c r="M31" s="575">
        <f t="shared" si="1"/>
        <v>7.8433618287922613E-2</v>
      </c>
      <c r="N31" s="575">
        <f t="shared" si="0"/>
        <v>8.0504180896564526E-2</v>
      </c>
    </row>
    <row r="32" spans="4:14" x14ac:dyDescent="0.3">
      <c r="D32" s="556">
        <v>139</v>
      </c>
      <c r="E32" s="557">
        <v>0</v>
      </c>
      <c r="F32" s="557">
        <v>0</v>
      </c>
      <c r="G32" s="557">
        <v>0</v>
      </c>
      <c r="H32" s="557">
        <v>0</v>
      </c>
      <c r="I32" s="557">
        <v>0</v>
      </c>
      <c r="J32" s="557">
        <v>0</v>
      </c>
      <c r="K32" s="557">
        <v>0</v>
      </c>
      <c r="L32" s="558">
        <v>0</v>
      </c>
      <c r="M32" s="575" t="str">
        <f t="shared" si="1"/>
        <v>n/a</v>
      </c>
      <c r="N32" s="575" t="str">
        <f t="shared" si="0"/>
        <v>n/a</v>
      </c>
    </row>
    <row r="33" spans="4:14" x14ac:dyDescent="0.3">
      <c r="D33" s="556">
        <v>190</v>
      </c>
      <c r="E33" s="557">
        <v>0.47560600000000003</v>
      </c>
      <c r="F33" s="557">
        <v>0.48122199999999998</v>
      </c>
      <c r="G33" s="557">
        <v>1.8232519999999999</v>
      </c>
      <c r="H33" s="557">
        <v>1.8712</v>
      </c>
      <c r="I33" s="557">
        <v>0.12196799999999999</v>
      </c>
      <c r="J33" s="557">
        <v>0.12612000000000001</v>
      </c>
      <c r="K33" s="557">
        <v>0.18141800000000002</v>
      </c>
      <c r="L33" s="558">
        <v>0.189725</v>
      </c>
      <c r="M33" s="575" t="str">
        <f t="shared" si="1"/>
        <v>n/a</v>
      </c>
      <c r="N33" s="575" t="str">
        <f t="shared" si="0"/>
        <v>n/a</v>
      </c>
    </row>
    <row r="34" spans="4:14" x14ac:dyDescent="0.3">
      <c r="D34" s="556">
        <v>219</v>
      </c>
      <c r="E34" s="557">
        <v>1.1515110000000002</v>
      </c>
      <c r="F34" s="557">
        <v>0.68011499999999991</v>
      </c>
      <c r="G34" s="557">
        <v>0.59989499999999996</v>
      </c>
      <c r="H34" s="557">
        <v>0.351217</v>
      </c>
      <c r="I34" s="557">
        <v>0.41094699999999995</v>
      </c>
      <c r="J34" s="557">
        <v>0.24146799999999999</v>
      </c>
      <c r="K34" s="557">
        <v>0.47210299999999994</v>
      </c>
      <c r="L34" s="558">
        <v>0.279866</v>
      </c>
      <c r="M34" s="575">
        <f t="shared" si="1"/>
        <v>-0.1054675829101156</v>
      </c>
      <c r="N34" s="575" t="str">
        <f t="shared" si="0"/>
        <v>n/a</v>
      </c>
    </row>
    <row r="35" spans="4:14" x14ac:dyDescent="0.3">
      <c r="D35" s="556">
        <v>221</v>
      </c>
      <c r="E35" s="557">
        <v>3.888895999999999</v>
      </c>
      <c r="F35" s="557">
        <v>0.78374899999999992</v>
      </c>
      <c r="G35" s="557">
        <v>3.2824710000000001</v>
      </c>
      <c r="H35" s="557">
        <v>0.6595160000000001</v>
      </c>
      <c r="I35" s="557">
        <v>3.7506520000000001</v>
      </c>
      <c r="J35" s="557">
        <v>0.75514999999999988</v>
      </c>
      <c r="K35" s="557">
        <v>15.637261000000001</v>
      </c>
      <c r="L35" s="558">
        <v>3.1995259999999996</v>
      </c>
      <c r="M35" s="575">
        <f t="shared" si="1"/>
        <v>0.18998584238539662</v>
      </c>
      <c r="N35" s="575" t="str">
        <f t="shared" si="0"/>
        <v>n/a</v>
      </c>
    </row>
    <row r="36" spans="4:14" x14ac:dyDescent="0.3">
      <c r="D36" s="556">
        <v>222</v>
      </c>
      <c r="E36" s="557">
        <v>5.4000000000000001E-4</v>
      </c>
      <c r="F36" s="557">
        <v>1.7799999999999999E-4</v>
      </c>
      <c r="G36" s="557">
        <v>6.2139999999999999E-3</v>
      </c>
      <c r="H36" s="557">
        <v>2.0729999999999998E-3</v>
      </c>
      <c r="I36" s="557">
        <v>1.7274000000000001E-2</v>
      </c>
      <c r="J36" s="557">
        <v>5.7249999999999992E-3</v>
      </c>
      <c r="K36" s="557">
        <v>0</v>
      </c>
      <c r="L36" s="558">
        <v>0</v>
      </c>
      <c r="M36" s="575" t="str">
        <f t="shared" si="1"/>
        <v>n/a</v>
      </c>
      <c r="N36" s="575" t="str">
        <f t="shared" si="0"/>
        <v>n/a</v>
      </c>
    </row>
    <row r="37" spans="4:14" x14ac:dyDescent="0.3">
      <c r="D37" s="556">
        <v>223</v>
      </c>
      <c r="E37" s="557">
        <v>5.53E-4</v>
      </c>
      <c r="F37" s="557">
        <v>8.5000000000000006E-5</v>
      </c>
      <c r="G37" s="557">
        <v>5.5800000000000001E-4</v>
      </c>
      <c r="H37" s="557">
        <v>8.5000000000000006E-5</v>
      </c>
      <c r="I37" s="557">
        <v>9.5729999999999999E-3</v>
      </c>
      <c r="J37" s="557">
        <v>1.467E-3</v>
      </c>
      <c r="K37" s="557">
        <v>0</v>
      </c>
      <c r="L37" s="558">
        <v>0</v>
      </c>
      <c r="M37" s="575" t="str">
        <f t="shared" si="1"/>
        <v>n/a</v>
      </c>
      <c r="N37" s="575" t="str">
        <f t="shared" si="0"/>
        <v>n/a</v>
      </c>
    </row>
    <row r="38" spans="4:14" x14ac:dyDescent="0.3">
      <c r="D38" s="556">
        <v>229</v>
      </c>
      <c r="E38" s="557">
        <v>8.1999999999999998E-4</v>
      </c>
      <c r="F38" s="557">
        <v>2.6600000000000001E-4</v>
      </c>
      <c r="G38" s="557">
        <v>8.2700000000000004E-4</v>
      </c>
      <c r="H38" s="557">
        <v>2.6800000000000001E-4</v>
      </c>
      <c r="I38" s="557">
        <v>1.4191E-2</v>
      </c>
      <c r="J38" s="557">
        <v>4.5989999999999998E-3</v>
      </c>
      <c r="K38" s="557">
        <v>0</v>
      </c>
      <c r="L38" s="558">
        <v>0</v>
      </c>
      <c r="M38" s="575" t="str">
        <f t="shared" si="1"/>
        <v>n/a</v>
      </c>
      <c r="N38" s="575" t="str">
        <f t="shared" si="0"/>
        <v>n/a</v>
      </c>
    </row>
    <row r="39" spans="4:14" x14ac:dyDescent="0.3">
      <c r="D39" s="556">
        <v>271</v>
      </c>
      <c r="E39" s="557">
        <v>5.1032000000000001E-2</v>
      </c>
      <c r="F39" s="557">
        <v>6.3789999999999999E-2</v>
      </c>
      <c r="G39" s="557">
        <v>5.0889999999999998E-3</v>
      </c>
      <c r="H39" s="557">
        <v>6.3610000000000003E-3</v>
      </c>
      <c r="I39" s="557">
        <v>3.5279999999999999E-3</v>
      </c>
      <c r="J39" s="557">
        <v>4.411E-3</v>
      </c>
      <c r="K39" s="557">
        <v>0.91861099999999996</v>
      </c>
      <c r="L39" s="558">
        <v>1.1492800000000001</v>
      </c>
      <c r="M39" s="575" t="str">
        <f t="shared" si="1"/>
        <v>n/a</v>
      </c>
      <c r="N39" s="575" t="str">
        <f t="shared" si="0"/>
        <v>n/a</v>
      </c>
    </row>
    <row r="40" spans="4:14" x14ac:dyDescent="0.3">
      <c r="D40" s="556">
        <v>279</v>
      </c>
      <c r="E40" s="557">
        <v>5.2401000000000003E-2</v>
      </c>
      <c r="F40" s="557">
        <v>6.7250999999999991E-2</v>
      </c>
      <c r="G40" s="557">
        <v>6.4099999999999997E-4</v>
      </c>
      <c r="H40" s="557">
        <v>8.5800000000000004E-4</v>
      </c>
      <c r="I40" s="557">
        <v>4.5800000000000002E-4</v>
      </c>
      <c r="J40" s="557">
        <v>6.1300000000000005E-4</v>
      </c>
      <c r="K40" s="557">
        <v>7.966899999999999E-2</v>
      </c>
      <c r="L40" s="558">
        <v>0.10652600000000001</v>
      </c>
      <c r="M40" s="575" t="str">
        <f t="shared" si="1"/>
        <v>n/a</v>
      </c>
      <c r="N40" s="575" t="str">
        <f t="shared" si="0"/>
        <v>n/a</v>
      </c>
    </row>
    <row r="41" spans="4:14" x14ac:dyDescent="0.3">
      <c r="D41" s="556">
        <v>280</v>
      </c>
      <c r="E41" s="557">
        <v>437.49751900000007</v>
      </c>
      <c r="F41" s="557">
        <v>80.759319000000005</v>
      </c>
      <c r="G41" s="557">
        <v>470.66466800000006</v>
      </c>
      <c r="H41" s="557">
        <v>88.176438000000019</v>
      </c>
      <c r="I41" s="557">
        <v>391.02172899999999</v>
      </c>
      <c r="J41" s="557">
        <v>72.715321999999986</v>
      </c>
      <c r="K41" s="557">
        <v>1117.3932269999996</v>
      </c>
      <c r="L41" s="558">
        <v>207.31344399999986</v>
      </c>
      <c r="M41" s="575">
        <f t="shared" si="1"/>
        <v>0.12435590474810709</v>
      </c>
      <c r="N41" s="575">
        <f t="shared" si="0"/>
        <v>0.12506950238857306</v>
      </c>
    </row>
    <row r="42" spans="4:14" x14ac:dyDescent="0.3">
      <c r="D42" s="556">
        <v>341</v>
      </c>
      <c r="E42" s="557">
        <v>0</v>
      </c>
      <c r="F42" s="557">
        <v>0</v>
      </c>
      <c r="G42" s="557">
        <v>0</v>
      </c>
      <c r="H42" s="557">
        <v>0</v>
      </c>
      <c r="I42" s="557">
        <v>0</v>
      </c>
      <c r="J42" s="557">
        <v>0</v>
      </c>
      <c r="K42" s="557">
        <v>0.13575400000000001</v>
      </c>
      <c r="L42" s="558">
        <v>0.16289200000000001</v>
      </c>
      <c r="M42" s="575" t="str">
        <f t="shared" si="1"/>
        <v>n/a</v>
      </c>
      <c r="N42" s="575" t="str">
        <f t="shared" si="0"/>
        <v>n/a</v>
      </c>
    </row>
    <row r="43" spans="4:14" x14ac:dyDescent="0.3">
      <c r="D43" s="556">
        <v>342</v>
      </c>
      <c r="E43" s="557">
        <v>0</v>
      </c>
      <c r="F43" s="557">
        <v>0</v>
      </c>
      <c r="G43" s="557">
        <v>0</v>
      </c>
      <c r="H43" s="557">
        <v>0</v>
      </c>
      <c r="I43" s="557">
        <v>0</v>
      </c>
      <c r="J43" s="557">
        <v>0</v>
      </c>
      <c r="K43" s="557">
        <v>1.067E-3</v>
      </c>
      <c r="L43" s="558">
        <v>1.238E-3</v>
      </c>
      <c r="M43" s="575" t="str">
        <f t="shared" si="1"/>
        <v>n/a</v>
      </c>
      <c r="N43" s="575" t="str">
        <f t="shared" si="0"/>
        <v>n/a</v>
      </c>
    </row>
    <row r="44" spans="4:14" x14ac:dyDescent="0.3">
      <c r="D44" s="556">
        <v>373</v>
      </c>
      <c r="E44" s="557">
        <v>6.6090000000000003E-3</v>
      </c>
      <c r="F44" s="557">
        <v>4.8459999999999996E-3</v>
      </c>
      <c r="G44" s="557">
        <v>0</v>
      </c>
      <c r="H44" s="557">
        <v>0</v>
      </c>
      <c r="I44" s="557">
        <v>1.488E-3</v>
      </c>
      <c r="J44" s="557">
        <v>1.091E-3</v>
      </c>
      <c r="K44" s="557">
        <v>0.20443700000000001</v>
      </c>
      <c r="L44" s="558">
        <v>0.14991300000000002</v>
      </c>
      <c r="M44" s="575" t="str">
        <f t="shared" si="1"/>
        <v>n/a</v>
      </c>
      <c r="N44" s="575" t="str">
        <f t="shared" si="0"/>
        <v>n/a</v>
      </c>
    </row>
    <row r="45" spans="4:14" x14ac:dyDescent="0.3">
      <c r="D45" s="556">
        <v>379</v>
      </c>
      <c r="E45" s="557">
        <v>1.2375000000000001E-2</v>
      </c>
      <c r="F45" s="557">
        <v>7.1500000000000001E-3</v>
      </c>
      <c r="G45" s="557">
        <v>1.5790000000000001E-3</v>
      </c>
      <c r="H45" s="557">
        <v>9.1299999999999997E-4</v>
      </c>
      <c r="I45" s="557">
        <v>2.787E-3</v>
      </c>
      <c r="J45" s="557">
        <v>1.6100000000000001E-3</v>
      </c>
      <c r="K45" s="557">
        <v>0.197102</v>
      </c>
      <c r="L45" s="558">
        <v>0.11391800000000001</v>
      </c>
      <c r="M45" s="575" t="str">
        <f t="shared" si="1"/>
        <v>n/a</v>
      </c>
      <c r="N45" s="575" t="str">
        <f t="shared" si="0"/>
        <v>n/a</v>
      </c>
    </row>
    <row r="46" spans="4:14" x14ac:dyDescent="0.3">
      <c r="D46" s="556">
        <v>459</v>
      </c>
      <c r="E46" s="557">
        <v>8.2857509999999959</v>
      </c>
      <c r="F46" s="557">
        <v>4.6722350000000024</v>
      </c>
      <c r="G46" s="557">
        <v>3.8796349999999999</v>
      </c>
      <c r="H46" s="557">
        <v>2.1978740000000001</v>
      </c>
      <c r="I46" s="557">
        <v>3.1429359999999997</v>
      </c>
      <c r="J46" s="557">
        <v>1.7840679999999998</v>
      </c>
      <c r="K46" s="557">
        <v>29.628099000000006</v>
      </c>
      <c r="L46" s="558">
        <v>16.932134000000005</v>
      </c>
      <c r="M46" s="575">
        <f t="shared" si="1"/>
        <v>0.17265831846558588</v>
      </c>
      <c r="N46" s="575">
        <f t="shared" si="0"/>
        <v>0.17462266704276908</v>
      </c>
    </row>
    <row r="47" spans="4:14" x14ac:dyDescent="0.3">
      <c r="D47" s="556">
        <v>482</v>
      </c>
      <c r="E47" s="557">
        <v>0.28186499999999998</v>
      </c>
      <c r="F47" s="557">
        <v>0.10987500000000001</v>
      </c>
      <c r="G47" s="557">
        <v>0.13584500000000005</v>
      </c>
      <c r="H47" s="557">
        <v>5.3013999999999999E-2</v>
      </c>
      <c r="I47" s="557">
        <v>2.2081E-2</v>
      </c>
      <c r="J47" s="557">
        <v>8.6639999999999998E-3</v>
      </c>
      <c r="K47" s="557">
        <v>0</v>
      </c>
      <c r="L47" s="558">
        <v>0</v>
      </c>
      <c r="M47" s="575" t="str">
        <f t="shared" si="1"/>
        <v>n/a</v>
      </c>
      <c r="N47" s="575" t="str">
        <f t="shared" si="0"/>
        <v>n/a</v>
      </c>
    </row>
    <row r="48" spans="4:14" x14ac:dyDescent="0.3">
      <c r="D48" s="556">
        <v>483</v>
      </c>
      <c r="E48" s="557">
        <v>0.209678</v>
      </c>
      <c r="F48" s="557">
        <v>0.14411199999999999</v>
      </c>
      <c r="G48" s="557">
        <v>9.2434999999999989E-2</v>
      </c>
      <c r="H48" s="557">
        <v>6.3749E-2</v>
      </c>
      <c r="I48" s="557">
        <v>1.2728999999999999E-2</v>
      </c>
      <c r="J48" s="557">
        <v>8.8240000000000002E-3</v>
      </c>
      <c r="K48" s="557">
        <v>0</v>
      </c>
      <c r="L48" s="558">
        <v>0</v>
      </c>
      <c r="M48" s="575" t="str">
        <f t="shared" si="1"/>
        <v>n/a</v>
      </c>
      <c r="N48" s="575" t="str">
        <f t="shared" si="0"/>
        <v>n/a</v>
      </c>
    </row>
    <row r="49" spans="4:14" x14ac:dyDescent="0.3">
      <c r="D49" s="556">
        <v>486</v>
      </c>
      <c r="E49" s="557">
        <v>0.24193300000000001</v>
      </c>
      <c r="F49" s="557">
        <v>0.118422</v>
      </c>
      <c r="G49" s="557">
        <v>0.27205399999999996</v>
      </c>
      <c r="H49" s="557">
        <v>0.13437199999999999</v>
      </c>
      <c r="I49" s="557">
        <v>7.4709999999999999E-2</v>
      </c>
      <c r="J49" s="557">
        <v>3.7598000000000006E-2</v>
      </c>
      <c r="K49" s="557">
        <v>0</v>
      </c>
      <c r="L49" s="558">
        <v>0</v>
      </c>
      <c r="M49" s="575" t="str">
        <f t="shared" si="1"/>
        <v>n/a</v>
      </c>
      <c r="N49" s="575" t="str">
        <f t="shared" si="0"/>
        <v>n/a</v>
      </c>
    </row>
    <row r="50" spans="4:14" ht="13.5" thickBot="1" x14ac:dyDescent="0.35">
      <c r="D50" s="559">
        <v>489</v>
      </c>
      <c r="E50" s="560">
        <v>8.367545999999999</v>
      </c>
      <c r="F50" s="560">
        <v>4.7047199999999991</v>
      </c>
      <c r="G50" s="560">
        <v>11.437895000000001</v>
      </c>
      <c r="H50" s="560">
        <v>6.8311010000000003</v>
      </c>
      <c r="I50" s="560">
        <v>9.399578</v>
      </c>
      <c r="J50" s="560">
        <v>5.7554189999999998</v>
      </c>
      <c r="K50" s="560">
        <v>0.19032099999999996</v>
      </c>
      <c r="L50" s="561">
        <v>0.12075099999999998</v>
      </c>
      <c r="M50" s="577">
        <f t="shared" si="1"/>
        <v>-0.3768234891210912</v>
      </c>
      <c r="N50" s="577">
        <f t="shared" si="0"/>
        <v>-0.36734110379056895</v>
      </c>
    </row>
    <row r="51" spans="4:14" x14ac:dyDescent="0.3">
      <c r="M51" s="528" t="s">
        <v>363</v>
      </c>
      <c r="N51" s="528" t="s">
        <v>363</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1016B-3706-4C80-996F-E3FF74D3C7C7}">
  <sheetPr codeName="Sheet18">
    <tabColor rgb="FF7030A0"/>
  </sheetPr>
  <dimension ref="A1:N137"/>
  <sheetViews>
    <sheetView workbookViewId="0">
      <selection activeCell="M19" sqref="M19"/>
    </sheetView>
  </sheetViews>
  <sheetFormatPr defaultColWidth="8.81640625" defaultRowHeight="13" x14ac:dyDescent="0.3"/>
  <cols>
    <col min="1" max="3" width="3.453125" style="527" customWidth="1"/>
    <col min="4" max="4" width="9.54296875" style="528" bestFit="1" customWidth="1"/>
    <col min="5" max="8" width="25.453125" style="527" hidden="1" customWidth="1"/>
    <col min="9" max="12" width="25.453125" style="527" customWidth="1"/>
    <col min="13" max="16" width="18.54296875" style="527" customWidth="1"/>
    <col min="17" max="16384" width="8.81640625" style="527"/>
  </cols>
  <sheetData>
    <row r="1" spans="1:12" s="524" customFormat="1" x14ac:dyDescent="0.3">
      <c r="A1" s="524" t="s">
        <v>28</v>
      </c>
      <c r="D1" s="525"/>
    </row>
    <row r="3" spans="1:12" x14ac:dyDescent="0.3">
      <c r="A3" s="526" t="s">
        <v>594</v>
      </c>
    </row>
    <row r="4" spans="1:12" x14ac:dyDescent="0.3">
      <c r="A4" s="526" t="s">
        <v>595</v>
      </c>
    </row>
    <row r="5" spans="1:12" x14ac:dyDescent="0.3">
      <c r="A5" s="526" t="s">
        <v>596</v>
      </c>
    </row>
    <row r="7" spans="1:12" s="529" customFormat="1" x14ac:dyDescent="0.3">
      <c r="B7" s="530" t="s">
        <v>597</v>
      </c>
      <c r="D7" s="531"/>
    </row>
    <row r="8" spans="1:12" ht="13.5" thickBot="1" x14ac:dyDescent="0.35"/>
    <row r="9" spans="1:12" x14ac:dyDescent="0.3">
      <c r="I9" s="532" t="s">
        <v>598</v>
      </c>
      <c r="J9" s="533" t="s">
        <v>599</v>
      </c>
      <c r="K9" s="533" t="s">
        <v>600</v>
      </c>
      <c r="L9" s="534" t="s">
        <v>601</v>
      </c>
    </row>
    <row r="10" spans="1:12" x14ac:dyDescent="0.3">
      <c r="I10" s="536">
        <v>1</v>
      </c>
      <c r="J10" s="539" t="s">
        <v>602</v>
      </c>
      <c r="K10" s="540">
        <v>12</v>
      </c>
      <c r="L10" s="541" t="s">
        <v>603</v>
      </c>
    </row>
    <row r="11" spans="1:12" x14ac:dyDescent="0.3">
      <c r="I11" s="537">
        <v>2</v>
      </c>
      <c r="J11" s="542" t="s">
        <v>604</v>
      </c>
      <c r="K11" s="543">
        <v>2</v>
      </c>
      <c r="L11" s="544" t="s">
        <v>605</v>
      </c>
    </row>
    <row r="12" spans="1:12" x14ac:dyDescent="0.3">
      <c r="I12" s="537">
        <v>3</v>
      </c>
      <c r="J12" s="542" t="s">
        <v>606</v>
      </c>
      <c r="K12" s="543">
        <v>3</v>
      </c>
      <c r="L12" s="544" t="s">
        <v>607</v>
      </c>
    </row>
    <row r="13" spans="1:12" ht="13.5" thickBot="1" x14ac:dyDescent="0.35">
      <c r="I13" s="538">
        <v>4</v>
      </c>
      <c r="J13" s="545" t="s">
        <v>608</v>
      </c>
      <c r="K13" s="546">
        <v>1</v>
      </c>
      <c r="L13" s="547" t="s">
        <v>129</v>
      </c>
    </row>
    <row r="15" spans="1:12" s="529" customFormat="1" x14ac:dyDescent="0.3">
      <c r="B15" s="530" t="s">
        <v>609</v>
      </c>
      <c r="D15" s="531"/>
    </row>
    <row r="16" spans="1:12" ht="13.5" thickBot="1" x14ac:dyDescent="0.35"/>
    <row r="17" spans="4:14" x14ac:dyDescent="0.3">
      <c r="D17" s="550" t="s">
        <v>430</v>
      </c>
      <c r="E17" s="551" t="s">
        <v>610</v>
      </c>
      <c r="F17" s="551" t="s">
        <v>611</v>
      </c>
      <c r="G17" s="551"/>
      <c r="H17" s="551"/>
      <c r="I17" s="551"/>
      <c r="J17" s="551"/>
      <c r="K17" s="551"/>
      <c r="L17" s="552"/>
      <c r="M17" s="568" t="s">
        <v>612</v>
      </c>
      <c r="N17" s="569"/>
    </row>
    <row r="18" spans="4:14" x14ac:dyDescent="0.3">
      <c r="D18" s="548" t="s">
        <v>613</v>
      </c>
      <c r="E18" s="535" t="s">
        <v>614</v>
      </c>
      <c r="F18" s="535" t="s">
        <v>615</v>
      </c>
      <c r="G18" s="535" t="s">
        <v>616</v>
      </c>
      <c r="H18" s="535" t="s">
        <v>617</v>
      </c>
      <c r="I18" s="535" t="s">
        <v>618</v>
      </c>
      <c r="J18" s="535" t="s">
        <v>619</v>
      </c>
      <c r="K18" s="535" t="s">
        <v>620</v>
      </c>
      <c r="L18" s="549" t="s">
        <v>621</v>
      </c>
      <c r="M18" s="549" t="s">
        <v>622</v>
      </c>
      <c r="N18" s="549" t="s">
        <v>623</v>
      </c>
    </row>
    <row r="19" spans="4:14" x14ac:dyDescent="0.3">
      <c r="D19" s="553">
        <v>11</v>
      </c>
      <c r="E19" s="554">
        <v>66.489319999999992</v>
      </c>
      <c r="F19" s="554">
        <v>18.650339000000002</v>
      </c>
      <c r="G19" s="554">
        <v>65.121114999999989</v>
      </c>
      <c r="H19" s="554">
        <v>18.361949000000003</v>
      </c>
      <c r="I19" s="554">
        <v>69.811936000000017</v>
      </c>
      <c r="J19" s="554">
        <v>19.683637000000008</v>
      </c>
      <c r="K19" s="554">
        <v>615.13749899999993</v>
      </c>
      <c r="L19" s="554">
        <v>175.26450400000002</v>
      </c>
      <c r="M19" s="570">
        <f t="shared" ref="M19:M50" si="0">IFERROR(IF(OR(E19&lt;1,E19=0),"n/a",((K19/E19)^(1/(2030-2022)))-1),"n/a")</f>
        <v>0.32061899283080519</v>
      </c>
      <c r="N19" s="565">
        <f t="shared" ref="N19:N50" si="1">IFERROR(IF(OR(F19&lt;1,F19=0),"n/a",((L19/F19)^(1/(2030-2022)))-1),"n/a")</f>
        <v>0.32320125689047829</v>
      </c>
    </row>
    <row r="20" spans="4:14" x14ac:dyDescent="0.3">
      <c r="D20" s="556">
        <v>12</v>
      </c>
      <c r="E20" s="557">
        <v>57.498599999999996</v>
      </c>
      <c r="F20" s="557">
        <v>1.2898159999999999</v>
      </c>
      <c r="G20" s="557">
        <v>56.406555999999988</v>
      </c>
      <c r="H20" s="557">
        <v>1.2508009999999998</v>
      </c>
      <c r="I20" s="557">
        <v>54.841759000000003</v>
      </c>
      <c r="J20" s="557">
        <v>1.2018310000000003</v>
      </c>
      <c r="K20" s="557">
        <v>2896.9456359999999</v>
      </c>
      <c r="L20" s="557">
        <v>68.324017999999967</v>
      </c>
      <c r="M20" s="571">
        <f t="shared" si="0"/>
        <v>0.63224514072063842</v>
      </c>
      <c r="N20" s="566">
        <f t="shared" si="1"/>
        <v>0.6425012350931496</v>
      </c>
    </row>
    <row r="21" spans="4:14" x14ac:dyDescent="0.3">
      <c r="D21" s="556">
        <v>19</v>
      </c>
      <c r="E21" s="557">
        <v>290.74877199999997</v>
      </c>
      <c r="F21" s="557">
        <v>71.144927000000038</v>
      </c>
      <c r="G21" s="557">
        <v>284.93212200000016</v>
      </c>
      <c r="H21" s="557">
        <v>73.452516000000045</v>
      </c>
      <c r="I21" s="557">
        <v>293.84453099999996</v>
      </c>
      <c r="J21" s="557">
        <v>76.14509300000006</v>
      </c>
      <c r="K21" s="557">
        <v>826.55372799999998</v>
      </c>
      <c r="L21" s="557">
        <v>171.66003399999997</v>
      </c>
      <c r="M21" s="571">
        <f t="shared" si="0"/>
        <v>0.13951264799942686</v>
      </c>
      <c r="N21" s="566">
        <f t="shared" si="1"/>
        <v>0.11638927856343573</v>
      </c>
    </row>
    <row r="22" spans="4:14" x14ac:dyDescent="0.3">
      <c r="D22" s="556">
        <v>41</v>
      </c>
      <c r="E22" s="557">
        <v>2.9459999999999998E-3</v>
      </c>
      <c r="F22" s="557">
        <v>5.0750000000000005E-3</v>
      </c>
      <c r="G22" s="557">
        <v>4.0130000000000001E-3</v>
      </c>
      <c r="H22" s="557">
        <v>6.9230000000000003E-3</v>
      </c>
      <c r="I22" s="557">
        <v>7.36E-4</v>
      </c>
      <c r="J22" s="557">
        <v>1.271E-3</v>
      </c>
      <c r="K22" s="557">
        <v>0</v>
      </c>
      <c r="L22" s="557">
        <v>0</v>
      </c>
      <c r="M22" s="571" t="str">
        <f t="shared" si="0"/>
        <v>n/a</v>
      </c>
      <c r="N22" s="566" t="str">
        <f t="shared" si="1"/>
        <v>n/a</v>
      </c>
    </row>
    <row r="23" spans="4:14" x14ac:dyDescent="0.3">
      <c r="D23" s="556">
        <v>42</v>
      </c>
      <c r="E23" s="557">
        <v>1.8513000000000002E-2</v>
      </c>
      <c r="F23" s="557">
        <v>3.0762000000000001E-2</v>
      </c>
      <c r="G23" s="557">
        <v>2.8479999999999998E-3</v>
      </c>
      <c r="H23" s="557">
        <v>4.7320000000000001E-3</v>
      </c>
      <c r="I23" s="557">
        <v>0</v>
      </c>
      <c r="J23" s="557">
        <v>0</v>
      </c>
      <c r="K23" s="557">
        <v>0</v>
      </c>
      <c r="L23" s="557">
        <v>0</v>
      </c>
      <c r="M23" s="571" t="str">
        <f t="shared" si="0"/>
        <v>n/a</v>
      </c>
      <c r="N23" s="566" t="str">
        <f t="shared" si="1"/>
        <v>n/a</v>
      </c>
    </row>
    <row r="24" spans="4:14" x14ac:dyDescent="0.3">
      <c r="D24" s="556">
        <v>49</v>
      </c>
      <c r="E24" s="557">
        <v>2.0917000000000002E-2</v>
      </c>
      <c r="F24" s="557">
        <v>3.6103000000000003E-2</v>
      </c>
      <c r="G24" s="557">
        <v>3.2169999999999998E-3</v>
      </c>
      <c r="H24" s="557">
        <v>5.5529999999999998E-3</v>
      </c>
      <c r="I24" s="557">
        <v>0</v>
      </c>
      <c r="J24" s="557">
        <v>0</v>
      </c>
      <c r="K24" s="557">
        <v>0</v>
      </c>
      <c r="L24" s="557">
        <v>0</v>
      </c>
      <c r="M24" s="571" t="str">
        <f t="shared" si="0"/>
        <v>n/a</v>
      </c>
      <c r="N24" s="566" t="str">
        <f t="shared" si="1"/>
        <v>n/a</v>
      </c>
    </row>
    <row r="25" spans="4:14" x14ac:dyDescent="0.3">
      <c r="D25" s="556">
        <v>50</v>
      </c>
      <c r="E25" s="557">
        <v>0.15626200000000001</v>
      </c>
      <c r="F25" s="557">
        <v>8.7848000000000009E-2</v>
      </c>
      <c r="G25" s="557">
        <v>6.1179999999999998E-2</v>
      </c>
      <c r="H25" s="557">
        <v>3.4395000000000002E-2</v>
      </c>
      <c r="I25" s="557">
        <v>0</v>
      </c>
      <c r="J25" s="557">
        <v>0</v>
      </c>
      <c r="K25" s="557">
        <v>0</v>
      </c>
      <c r="L25" s="557">
        <v>0</v>
      </c>
      <c r="M25" s="571" t="str">
        <f t="shared" si="0"/>
        <v>n/a</v>
      </c>
      <c r="N25" s="566" t="str">
        <f t="shared" si="1"/>
        <v>n/a</v>
      </c>
    </row>
    <row r="26" spans="4:14" x14ac:dyDescent="0.3">
      <c r="D26" s="556">
        <v>61</v>
      </c>
      <c r="E26" s="557">
        <v>4.582662</v>
      </c>
      <c r="F26" s="557">
        <v>9.7292190000000005</v>
      </c>
      <c r="G26" s="557">
        <v>4.3106110000000006</v>
      </c>
      <c r="H26" s="557">
        <v>9.1635200000000019</v>
      </c>
      <c r="I26" s="557">
        <v>6.7643700000000013</v>
      </c>
      <c r="J26" s="557">
        <v>14.370213</v>
      </c>
      <c r="K26" s="557">
        <v>7.656994000000001</v>
      </c>
      <c r="L26" s="557">
        <v>16.274445</v>
      </c>
      <c r="M26" s="571">
        <f t="shared" si="0"/>
        <v>6.6270907762102871E-2</v>
      </c>
      <c r="N26" s="566">
        <f t="shared" si="1"/>
        <v>6.6420600555633591E-2</v>
      </c>
    </row>
    <row r="27" spans="4:14" x14ac:dyDescent="0.3">
      <c r="D27" s="556">
        <v>62</v>
      </c>
      <c r="E27" s="557">
        <v>1.5652610000000002</v>
      </c>
      <c r="F27" s="557">
        <v>4.0012489999999996</v>
      </c>
      <c r="G27" s="557">
        <v>2.5971030000000002</v>
      </c>
      <c r="H27" s="557">
        <v>6.6347430000000003</v>
      </c>
      <c r="I27" s="557">
        <v>2.8351800000000007</v>
      </c>
      <c r="J27" s="557">
        <v>7.2430789999999998</v>
      </c>
      <c r="K27" s="557">
        <v>1.7736569999999998</v>
      </c>
      <c r="L27" s="557">
        <v>4.5330949999999994</v>
      </c>
      <c r="M27" s="571">
        <f t="shared" si="0"/>
        <v>1.5746557437660069E-2</v>
      </c>
      <c r="N27" s="566">
        <f t="shared" si="1"/>
        <v>1.5722107849470923E-2</v>
      </c>
    </row>
    <row r="28" spans="4:14" x14ac:dyDescent="0.3">
      <c r="D28" s="556">
        <v>63</v>
      </c>
      <c r="E28" s="557">
        <v>1.7227859999999999</v>
      </c>
      <c r="F28" s="557">
        <v>4.0290760000000008</v>
      </c>
      <c r="G28" s="557">
        <v>0.89483899999999994</v>
      </c>
      <c r="H28" s="557">
        <v>2.0927630000000006</v>
      </c>
      <c r="I28" s="557">
        <v>2.0965119999999997</v>
      </c>
      <c r="J28" s="557">
        <v>4.9031110000000009</v>
      </c>
      <c r="K28" s="557">
        <v>1.804273</v>
      </c>
      <c r="L28" s="557">
        <v>4.2196539999999993</v>
      </c>
      <c r="M28" s="571">
        <f t="shared" si="0"/>
        <v>5.793592403476433E-3</v>
      </c>
      <c r="N28" s="566">
        <f t="shared" si="1"/>
        <v>5.7937272028452114E-3</v>
      </c>
    </row>
    <row r="29" spans="4:14" x14ac:dyDescent="0.3">
      <c r="D29" s="556">
        <v>64</v>
      </c>
      <c r="E29" s="557">
        <v>2.9133709999999997</v>
      </c>
      <c r="F29" s="557">
        <v>7.4057140000000006</v>
      </c>
      <c r="G29" s="557">
        <v>2.6330519999999997</v>
      </c>
      <c r="H29" s="557">
        <v>6.6981380000000028</v>
      </c>
      <c r="I29" s="557">
        <v>5.2315990000000001</v>
      </c>
      <c r="J29" s="557">
        <v>13.300161000000003</v>
      </c>
      <c r="K29" s="557">
        <v>9.0774019999999958</v>
      </c>
      <c r="L29" s="557">
        <v>23.097904</v>
      </c>
      <c r="M29" s="571">
        <f t="shared" si="0"/>
        <v>0.15264540154640516</v>
      </c>
      <c r="N29" s="566">
        <f t="shared" si="1"/>
        <v>0.15279133781357013</v>
      </c>
    </row>
    <row r="30" spans="4:14" x14ac:dyDescent="0.3">
      <c r="D30" s="556">
        <v>65</v>
      </c>
      <c r="E30" s="557">
        <v>0.40333799999999997</v>
      </c>
      <c r="F30" s="557">
        <v>0.95726899999999993</v>
      </c>
      <c r="G30" s="557">
        <v>0.49569100000000005</v>
      </c>
      <c r="H30" s="557">
        <v>1.1761459999999999</v>
      </c>
      <c r="I30" s="557">
        <v>0.623668</v>
      </c>
      <c r="J30" s="557">
        <v>1.480056</v>
      </c>
      <c r="K30" s="557">
        <v>0.23475299999999999</v>
      </c>
      <c r="L30" s="557">
        <v>0.55709100000000011</v>
      </c>
      <c r="M30" s="571" t="str">
        <f t="shared" si="0"/>
        <v>n/a</v>
      </c>
      <c r="N30" s="566" t="str">
        <f t="shared" si="1"/>
        <v>n/a</v>
      </c>
    </row>
    <row r="31" spans="4:14" x14ac:dyDescent="0.3">
      <c r="D31" s="556">
        <v>69</v>
      </c>
      <c r="E31" s="557">
        <v>2.9019180000000002</v>
      </c>
      <c r="F31" s="557">
        <v>6.8030080000000019</v>
      </c>
      <c r="G31" s="557">
        <v>4.812831000000001</v>
      </c>
      <c r="H31" s="557">
        <v>11.628557000000001</v>
      </c>
      <c r="I31" s="557">
        <v>5.2570499999999987</v>
      </c>
      <c r="J31" s="557">
        <v>12.680070999999998</v>
      </c>
      <c r="K31" s="557">
        <v>2.1168420000000001</v>
      </c>
      <c r="L31" s="557">
        <v>5.1078880000000026</v>
      </c>
      <c r="M31" s="571">
        <f t="shared" si="0"/>
        <v>-3.8663540919062878E-2</v>
      </c>
      <c r="N31" s="566">
        <f t="shared" si="1"/>
        <v>-3.51883296724812E-2</v>
      </c>
    </row>
    <row r="32" spans="4:14" x14ac:dyDescent="0.3">
      <c r="D32" s="556">
        <v>81</v>
      </c>
      <c r="E32" s="557">
        <v>0.117451</v>
      </c>
      <c r="F32" s="557">
        <v>0.17951499999999998</v>
      </c>
      <c r="G32" s="557">
        <v>0.172462</v>
      </c>
      <c r="H32" s="557">
        <v>0.263596</v>
      </c>
      <c r="I32" s="557">
        <v>0.131164</v>
      </c>
      <c r="J32" s="557">
        <v>0.20047699999999999</v>
      </c>
      <c r="K32" s="557">
        <v>0</v>
      </c>
      <c r="L32" s="557">
        <v>0</v>
      </c>
      <c r="M32" s="571" t="str">
        <f t="shared" si="0"/>
        <v>n/a</v>
      </c>
      <c r="N32" s="566" t="str">
        <f t="shared" si="1"/>
        <v>n/a</v>
      </c>
    </row>
    <row r="33" spans="4:14" x14ac:dyDescent="0.3">
      <c r="D33" s="556">
        <v>89</v>
      </c>
      <c r="E33" s="557">
        <v>0.16653699999999999</v>
      </c>
      <c r="F33" s="557">
        <v>0.25466300000000003</v>
      </c>
      <c r="G33" s="557">
        <v>0.13150100000000001</v>
      </c>
      <c r="H33" s="557">
        <v>0.20108499999999999</v>
      </c>
      <c r="I33" s="557">
        <v>9.9736000000000019E-2</v>
      </c>
      <c r="J33" s="557">
        <v>0.15251200000000001</v>
      </c>
      <c r="K33" s="557">
        <v>0</v>
      </c>
      <c r="L33" s="557">
        <v>0</v>
      </c>
      <c r="M33" s="571" t="str">
        <f t="shared" si="0"/>
        <v>n/a</v>
      </c>
      <c r="N33" s="566" t="str">
        <f t="shared" si="1"/>
        <v>n/a</v>
      </c>
    </row>
    <row r="34" spans="4:14" x14ac:dyDescent="0.3">
      <c r="D34" s="556">
        <v>91</v>
      </c>
      <c r="E34" s="557">
        <v>0.48546699999999998</v>
      </c>
      <c r="F34" s="557">
        <v>0.7541969999999999</v>
      </c>
      <c r="G34" s="557">
        <v>0.24246900000000002</v>
      </c>
      <c r="H34" s="557">
        <v>0.3768720000000001</v>
      </c>
      <c r="I34" s="557">
        <v>0.11597899999999998</v>
      </c>
      <c r="J34" s="557">
        <v>0.18023499999999998</v>
      </c>
      <c r="K34" s="557">
        <v>34.763969000000017</v>
      </c>
      <c r="L34" s="557">
        <v>53.987038999999996</v>
      </c>
      <c r="M34" s="571" t="str">
        <f t="shared" si="0"/>
        <v>n/a</v>
      </c>
      <c r="N34" s="566" t="str">
        <f t="shared" si="1"/>
        <v>n/a</v>
      </c>
    </row>
    <row r="35" spans="4:14" x14ac:dyDescent="0.3">
      <c r="D35" s="556">
        <v>92</v>
      </c>
      <c r="E35" s="557">
        <v>0.79765799999999998</v>
      </c>
      <c r="F35" s="557">
        <v>1.2844409999999999</v>
      </c>
      <c r="G35" s="557">
        <v>0.39823900000000007</v>
      </c>
      <c r="H35" s="557">
        <v>0.64095899999999995</v>
      </c>
      <c r="I35" s="557">
        <v>0.19048900000000002</v>
      </c>
      <c r="J35" s="557">
        <v>0.30688500000000002</v>
      </c>
      <c r="K35" s="557">
        <v>59.556601000000001</v>
      </c>
      <c r="L35" s="557">
        <v>95.985416000000015</v>
      </c>
      <c r="M35" s="571" t="str">
        <f t="shared" si="0"/>
        <v>n/a</v>
      </c>
      <c r="N35" s="566">
        <f t="shared" si="1"/>
        <v>0.71469304549007506</v>
      </c>
    </row>
    <row r="36" spans="4:14" x14ac:dyDescent="0.3">
      <c r="D36" s="556">
        <v>99</v>
      </c>
      <c r="E36" s="557">
        <v>0.15394299999999997</v>
      </c>
      <c r="F36" s="557">
        <v>0.24464499999999995</v>
      </c>
      <c r="G36" s="557">
        <v>7.677500000000001E-2</v>
      </c>
      <c r="H36" s="557">
        <v>0.12196299999999999</v>
      </c>
      <c r="I36" s="557">
        <v>3.6817999999999997E-2</v>
      </c>
      <c r="J36" s="557">
        <v>5.8480000000000011E-2</v>
      </c>
      <c r="K36" s="557">
        <v>7.1199540000000008</v>
      </c>
      <c r="L36" s="557">
        <v>11.315462999999999</v>
      </c>
      <c r="M36" s="571" t="str">
        <f t="shared" si="0"/>
        <v>n/a</v>
      </c>
      <c r="N36" s="566" t="str">
        <f t="shared" si="1"/>
        <v>n/a</v>
      </c>
    </row>
    <row r="37" spans="4:14" x14ac:dyDescent="0.3">
      <c r="D37" s="556">
        <v>101</v>
      </c>
      <c r="E37" s="557">
        <v>8.4699999999999988E-4</v>
      </c>
      <c r="F37" s="557">
        <v>9.9599999999999992E-4</v>
      </c>
      <c r="G37" s="557">
        <v>4.4060000000000002E-3</v>
      </c>
      <c r="H37" s="557">
        <v>5.1830000000000001E-3</v>
      </c>
      <c r="I37" s="557">
        <v>0</v>
      </c>
      <c r="J37" s="557">
        <v>0</v>
      </c>
      <c r="K37" s="557">
        <v>27.536879000000003</v>
      </c>
      <c r="L37" s="557">
        <v>32.401907999999999</v>
      </c>
      <c r="M37" s="571" t="str">
        <f t="shared" si="0"/>
        <v>n/a</v>
      </c>
      <c r="N37" s="566" t="str">
        <f t="shared" si="1"/>
        <v>n/a</v>
      </c>
    </row>
    <row r="38" spans="4:14" x14ac:dyDescent="0.3">
      <c r="D38" s="556">
        <v>109</v>
      </c>
      <c r="E38" s="557">
        <v>2.5999999999999998E-4</v>
      </c>
      <c r="F38" s="557">
        <v>3.21E-4</v>
      </c>
      <c r="G38" s="557">
        <v>8.3200000000000006E-4</v>
      </c>
      <c r="H38" s="557">
        <v>1.0330000000000001E-3</v>
      </c>
      <c r="I38" s="557">
        <v>0</v>
      </c>
      <c r="J38" s="557">
        <v>0</v>
      </c>
      <c r="K38" s="557">
        <v>3.76715</v>
      </c>
      <c r="L38" s="557">
        <v>4.6780470000000003</v>
      </c>
      <c r="M38" s="571" t="str">
        <f t="shared" si="0"/>
        <v>n/a</v>
      </c>
      <c r="N38" s="566" t="str">
        <f t="shared" si="1"/>
        <v>n/a</v>
      </c>
    </row>
    <row r="39" spans="4:14" x14ac:dyDescent="0.3">
      <c r="D39" s="556">
        <v>111</v>
      </c>
      <c r="E39" s="557">
        <v>0</v>
      </c>
      <c r="F39" s="557">
        <v>0</v>
      </c>
      <c r="G39" s="557">
        <v>0</v>
      </c>
      <c r="H39" s="557">
        <v>0</v>
      </c>
      <c r="I39" s="557">
        <v>0</v>
      </c>
      <c r="J39" s="557">
        <v>0</v>
      </c>
      <c r="K39" s="557">
        <v>7.6089999999999994E-3</v>
      </c>
      <c r="L39" s="557">
        <v>8.0940000000000005E-3</v>
      </c>
      <c r="M39" s="571" t="str">
        <f t="shared" si="0"/>
        <v>n/a</v>
      </c>
      <c r="N39" s="566" t="str">
        <f t="shared" si="1"/>
        <v>n/a</v>
      </c>
    </row>
    <row r="40" spans="4:14" x14ac:dyDescent="0.3">
      <c r="D40" s="556">
        <v>121</v>
      </c>
      <c r="E40" s="557">
        <v>43.45564899999998</v>
      </c>
      <c r="F40" s="557">
        <v>21.319606000000004</v>
      </c>
      <c r="G40" s="557">
        <v>21.287654</v>
      </c>
      <c r="H40" s="557">
        <v>10.445781999999999</v>
      </c>
      <c r="I40" s="557">
        <v>22.676456999999992</v>
      </c>
      <c r="J40" s="557">
        <v>11.160234999999998</v>
      </c>
      <c r="K40" s="557">
        <v>69.597574999999978</v>
      </c>
      <c r="L40" s="557">
        <v>34.213902999999966</v>
      </c>
      <c r="M40" s="571">
        <f t="shared" si="0"/>
        <v>6.0641176505454419E-2</v>
      </c>
      <c r="N40" s="566">
        <f t="shared" si="1"/>
        <v>6.0908504107424211E-2</v>
      </c>
    </row>
    <row r="41" spans="4:14" x14ac:dyDescent="0.3">
      <c r="D41" s="556">
        <v>122</v>
      </c>
      <c r="E41" s="557">
        <v>4.2525E-2</v>
      </c>
      <c r="F41" s="557">
        <v>3.3014999999999996E-2</v>
      </c>
      <c r="G41" s="557">
        <v>2.7950000000000002E-3</v>
      </c>
      <c r="H41" s="557">
        <v>2.1700000000000001E-3</v>
      </c>
      <c r="I41" s="557">
        <v>1.1252E-2</v>
      </c>
      <c r="J41" s="557">
        <v>8.735999999999999E-3</v>
      </c>
      <c r="K41" s="557">
        <v>0</v>
      </c>
      <c r="L41" s="557">
        <v>0</v>
      </c>
      <c r="M41" s="571" t="str">
        <f t="shared" si="0"/>
        <v>n/a</v>
      </c>
      <c r="N41" s="566" t="str">
        <f t="shared" si="1"/>
        <v>n/a</v>
      </c>
    </row>
    <row r="42" spans="4:14" x14ac:dyDescent="0.3">
      <c r="D42" s="556">
        <v>123</v>
      </c>
      <c r="E42" s="557">
        <v>2.0559999999999998E-2</v>
      </c>
      <c r="F42" s="557">
        <v>1.2276E-2</v>
      </c>
      <c r="G42" s="557">
        <v>1.3550000000000001E-3</v>
      </c>
      <c r="H42" s="557">
        <v>8.0900000000000004E-4</v>
      </c>
      <c r="I42" s="557">
        <v>6.3289999999999996E-3</v>
      </c>
      <c r="J42" s="557">
        <v>3.7790000000000002E-3</v>
      </c>
      <c r="K42" s="557">
        <v>0</v>
      </c>
      <c r="L42" s="557">
        <v>0</v>
      </c>
      <c r="M42" s="571" t="str">
        <f t="shared" si="0"/>
        <v>n/a</v>
      </c>
      <c r="N42" s="566" t="str">
        <f t="shared" si="1"/>
        <v>n/a</v>
      </c>
    </row>
    <row r="43" spans="4:14" x14ac:dyDescent="0.3">
      <c r="D43" s="556">
        <v>124</v>
      </c>
      <c r="E43" s="557">
        <v>1.9411999999999999E-2</v>
      </c>
      <c r="F43" s="557">
        <v>1.2604000000000001E-2</v>
      </c>
      <c r="G43" s="557">
        <v>1.2800000000000001E-3</v>
      </c>
      <c r="H43" s="557">
        <v>8.3100000000000003E-4</v>
      </c>
      <c r="I43" s="557">
        <v>5.9760000000000004E-3</v>
      </c>
      <c r="J43" s="557">
        <v>3.8800000000000002E-3</v>
      </c>
      <c r="K43" s="557">
        <v>0</v>
      </c>
      <c r="L43" s="557">
        <v>0</v>
      </c>
      <c r="M43" s="571" t="str">
        <f t="shared" si="0"/>
        <v>n/a</v>
      </c>
      <c r="N43" s="566" t="str">
        <f t="shared" si="1"/>
        <v>n/a</v>
      </c>
    </row>
    <row r="44" spans="4:14" x14ac:dyDescent="0.3">
      <c r="D44" s="556">
        <v>129</v>
      </c>
      <c r="E44" s="557">
        <v>34.102191000000005</v>
      </c>
      <c r="F44" s="557">
        <v>8.4622379999999993</v>
      </c>
      <c r="G44" s="557">
        <v>16.771598999999995</v>
      </c>
      <c r="H44" s="557">
        <v>4.8910219999999986</v>
      </c>
      <c r="I44" s="557">
        <v>17.537822999999996</v>
      </c>
      <c r="J44" s="557">
        <v>5.2042250000000019</v>
      </c>
      <c r="K44" s="557">
        <v>36.386819999999986</v>
      </c>
      <c r="L44" s="557">
        <v>13.764429999999994</v>
      </c>
      <c r="M44" s="571">
        <f t="shared" si="0"/>
        <v>8.1385628451537961E-3</v>
      </c>
      <c r="N44" s="566">
        <f t="shared" si="1"/>
        <v>6.2696192293281383E-2</v>
      </c>
    </row>
    <row r="45" spans="4:14" x14ac:dyDescent="0.3">
      <c r="D45" s="556">
        <v>131</v>
      </c>
      <c r="E45" s="557">
        <v>0</v>
      </c>
      <c r="F45" s="557">
        <v>0</v>
      </c>
      <c r="G45" s="557">
        <v>1.1349999999999999E-3</v>
      </c>
      <c r="H45" s="557">
        <v>4.5100000000000001E-4</v>
      </c>
      <c r="I45" s="557">
        <v>0</v>
      </c>
      <c r="J45" s="557">
        <v>0</v>
      </c>
      <c r="K45" s="557">
        <v>0</v>
      </c>
      <c r="L45" s="557">
        <v>0</v>
      </c>
      <c r="M45" s="571" t="str">
        <f t="shared" si="0"/>
        <v>n/a</v>
      </c>
      <c r="N45" s="566" t="str">
        <f t="shared" si="1"/>
        <v>n/a</v>
      </c>
    </row>
    <row r="46" spans="4:14" x14ac:dyDescent="0.3">
      <c r="D46" s="556">
        <v>132</v>
      </c>
      <c r="E46" s="557">
        <v>11.741343999999996</v>
      </c>
      <c r="F46" s="557">
        <v>7.1777939999999987</v>
      </c>
      <c r="G46" s="557">
        <v>6.012823</v>
      </c>
      <c r="H46" s="557">
        <v>3.6845730000000008</v>
      </c>
      <c r="I46" s="557">
        <v>7.1270689999999997</v>
      </c>
      <c r="J46" s="557">
        <v>4.3678689999999998</v>
      </c>
      <c r="K46" s="557">
        <v>13.703564999999999</v>
      </c>
      <c r="L46" s="557">
        <v>8.4191340000000014</v>
      </c>
      <c r="M46" s="571">
        <f t="shared" si="0"/>
        <v>1.9505255720281722E-2</v>
      </c>
      <c r="N46" s="566">
        <f t="shared" si="1"/>
        <v>2.0139476778029186E-2</v>
      </c>
    </row>
    <row r="47" spans="4:14" x14ac:dyDescent="0.3">
      <c r="D47" s="556">
        <v>139</v>
      </c>
      <c r="E47" s="557">
        <v>71.92170299999998</v>
      </c>
      <c r="F47" s="557">
        <v>32.648881999999993</v>
      </c>
      <c r="G47" s="557">
        <v>37.032123999999996</v>
      </c>
      <c r="H47" s="557">
        <v>17.146961999999998</v>
      </c>
      <c r="I47" s="557">
        <v>43.671552999999996</v>
      </c>
      <c r="J47" s="557">
        <v>20.251742999999998</v>
      </c>
      <c r="K47" s="557">
        <v>64.317505999999995</v>
      </c>
      <c r="L47" s="557">
        <v>30.214546000000002</v>
      </c>
      <c r="M47" s="571">
        <f t="shared" si="0"/>
        <v>-1.3871173728040365E-2</v>
      </c>
      <c r="N47" s="566">
        <f t="shared" si="1"/>
        <v>-9.6391364562752324E-3</v>
      </c>
    </row>
    <row r="48" spans="4:14" x14ac:dyDescent="0.3">
      <c r="D48" s="556">
        <v>160</v>
      </c>
      <c r="E48" s="557">
        <v>0</v>
      </c>
      <c r="F48" s="557">
        <v>0</v>
      </c>
      <c r="G48" s="557">
        <v>0</v>
      </c>
      <c r="H48" s="557">
        <v>0</v>
      </c>
      <c r="I48" s="557">
        <v>0</v>
      </c>
      <c r="J48" s="557">
        <v>0</v>
      </c>
      <c r="K48" s="557">
        <v>0</v>
      </c>
      <c r="L48" s="557">
        <v>0</v>
      </c>
      <c r="M48" s="571" t="str">
        <f t="shared" si="0"/>
        <v>n/a</v>
      </c>
      <c r="N48" s="566" t="str">
        <f t="shared" si="1"/>
        <v>n/a</v>
      </c>
    </row>
    <row r="49" spans="4:14" x14ac:dyDescent="0.3">
      <c r="D49" s="556">
        <v>171</v>
      </c>
      <c r="E49" s="557">
        <v>1.2175720000000001</v>
      </c>
      <c r="F49" s="557">
        <v>1.1421840000000001</v>
      </c>
      <c r="G49" s="557">
        <v>0.91580399999999995</v>
      </c>
      <c r="H49" s="557">
        <v>0.859101</v>
      </c>
      <c r="I49" s="557">
        <v>0.67361099999999996</v>
      </c>
      <c r="J49" s="557">
        <v>0.63190299999999999</v>
      </c>
      <c r="K49" s="557">
        <v>0</v>
      </c>
      <c r="L49" s="557">
        <v>0</v>
      </c>
      <c r="M49" s="571">
        <f t="shared" si="0"/>
        <v>-1</v>
      </c>
      <c r="N49" s="566">
        <f t="shared" si="1"/>
        <v>-1</v>
      </c>
    </row>
    <row r="50" spans="4:14" x14ac:dyDescent="0.3">
      <c r="D50" s="556">
        <v>172</v>
      </c>
      <c r="E50" s="557">
        <v>0.17264200000000002</v>
      </c>
      <c r="F50" s="557">
        <v>0.13156600000000002</v>
      </c>
      <c r="G50" s="557">
        <v>0.21426999999999999</v>
      </c>
      <c r="H50" s="557">
        <v>0.16328899999999999</v>
      </c>
      <c r="I50" s="557">
        <v>8.4292000000000006E-2</v>
      </c>
      <c r="J50" s="557">
        <v>6.4238000000000003E-2</v>
      </c>
      <c r="K50" s="557">
        <v>0</v>
      </c>
      <c r="L50" s="557">
        <v>0</v>
      </c>
      <c r="M50" s="571" t="str">
        <f t="shared" si="0"/>
        <v>n/a</v>
      </c>
      <c r="N50" s="566" t="str">
        <f t="shared" si="1"/>
        <v>n/a</v>
      </c>
    </row>
    <row r="51" spans="4:14" x14ac:dyDescent="0.3">
      <c r="D51" s="556">
        <v>179</v>
      </c>
      <c r="E51" s="557">
        <v>0.43050399999999994</v>
      </c>
      <c r="F51" s="557">
        <v>0.341422</v>
      </c>
      <c r="G51" s="557">
        <v>0.32380500000000001</v>
      </c>
      <c r="H51" s="557">
        <v>0.256803</v>
      </c>
      <c r="I51" s="557">
        <v>0.23817199999999999</v>
      </c>
      <c r="J51" s="557">
        <v>0.18888899999999997</v>
      </c>
      <c r="K51" s="557">
        <v>0</v>
      </c>
      <c r="L51" s="557">
        <v>0</v>
      </c>
      <c r="M51" s="571" t="str">
        <f t="shared" ref="M51:M82" si="2">IFERROR(IF(OR(E51&lt;1,E51=0),"n/a",((K51/E51)^(1/(2030-2022)))-1),"n/a")</f>
        <v>n/a</v>
      </c>
      <c r="N51" s="566" t="str">
        <f t="shared" ref="N51:N82" si="3">IFERROR(IF(OR(F51&lt;1,F51=0),"n/a",((L51/F51)^(1/(2030-2022)))-1),"n/a")</f>
        <v>n/a</v>
      </c>
    </row>
    <row r="52" spans="4:14" x14ac:dyDescent="0.3">
      <c r="D52" s="556">
        <v>181</v>
      </c>
      <c r="E52" s="557">
        <v>0</v>
      </c>
      <c r="F52" s="557">
        <v>0</v>
      </c>
      <c r="G52" s="557">
        <v>0</v>
      </c>
      <c r="H52" s="557">
        <v>0</v>
      </c>
      <c r="I52" s="557">
        <v>0</v>
      </c>
      <c r="J52" s="557">
        <v>0</v>
      </c>
      <c r="K52" s="557">
        <v>0</v>
      </c>
      <c r="L52" s="557">
        <v>0</v>
      </c>
      <c r="M52" s="571" t="str">
        <f t="shared" si="2"/>
        <v>n/a</v>
      </c>
      <c r="N52" s="566" t="str">
        <f t="shared" si="3"/>
        <v>n/a</v>
      </c>
    </row>
    <row r="53" spans="4:14" x14ac:dyDescent="0.3">
      <c r="D53" s="556">
        <v>182</v>
      </c>
      <c r="E53" s="557">
        <v>0</v>
      </c>
      <c r="F53" s="557">
        <v>0</v>
      </c>
      <c r="G53" s="557">
        <v>0</v>
      </c>
      <c r="H53" s="557">
        <v>0</v>
      </c>
      <c r="I53" s="557">
        <v>0</v>
      </c>
      <c r="J53" s="557">
        <v>0</v>
      </c>
      <c r="K53" s="557">
        <v>0</v>
      </c>
      <c r="L53" s="557">
        <v>0</v>
      </c>
      <c r="M53" s="571" t="str">
        <f t="shared" si="2"/>
        <v>n/a</v>
      </c>
      <c r="N53" s="566" t="str">
        <f t="shared" si="3"/>
        <v>n/a</v>
      </c>
    </row>
    <row r="54" spans="4:14" x14ac:dyDescent="0.3">
      <c r="D54" s="556">
        <v>183</v>
      </c>
      <c r="E54" s="557">
        <v>0</v>
      </c>
      <c r="F54" s="557">
        <v>0</v>
      </c>
      <c r="G54" s="557">
        <v>0</v>
      </c>
      <c r="H54" s="557">
        <v>0</v>
      </c>
      <c r="I54" s="557">
        <v>0</v>
      </c>
      <c r="J54" s="557">
        <v>0</v>
      </c>
      <c r="K54" s="557">
        <v>0</v>
      </c>
      <c r="L54" s="557">
        <v>0</v>
      </c>
      <c r="M54" s="571" t="str">
        <f t="shared" si="2"/>
        <v>n/a</v>
      </c>
      <c r="N54" s="566" t="str">
        <f t="shared" si="3"/>
        <v>n/a</v>
      </c>
    </row>
    <row r="55" spans="4:14" x14ac:dyDescent="0.3">
      <c r="D55" s="556">
        <v>189</v>
      </c>
      <c r="E55" s="557">
        <v>0</v>
      </c>
      <c r="F55" s="557">
        <v>0</v>
      </c>
      <c r="G55" s="557">
        <v>0</v>
      </c>
      <c r="H55" s="557">
        <v>0</v>
      </c>
      <c r="I55" s="557">
        <v>0</v>
      </c>
      <c r="J55" s="557">
        <v>0</v>
      </c>
      <c r="K55" s="557">
        <v>0</v>
      </c>
      <c r="L55" s="557">
        <v>0</v>
      </c>
      <c r="M55" s="571" t="str">
        <f t="shared" si="2"/>
        <v>n/a</v>
      </c>
      <c r="N55" s="566" t="str">
        <f t="shared" si="3"/>
        <v>n/a</v>
      </c>
    </row>
    <row r="56" spans="4:14" x14ac:dyDescent="0.3">
      <c r="D56" s="556">
        <v>190</v>
      </c>
      <c r="E56" s="557">
        <v>0.37816499999999997</v>
      </c>
      <c r="F56" s="557">
        <v>0.45122200000000001</v>
      </c>
      <c r="G56" s="557">
        <v>0</v>
      </c>
      <c r="H56" s="557">
        <v>0</v>
      </c>
      <c r="I56" s="557">
        <v>4.0410000000000003E-3</v>
      </c>
      <c r="J56" s="557">
        <v>4.7660000000000003E-3</v>
      </c>
      <c r="K56" s="557">
        <v>0</v>
      </c>
      <c r="L56" s="557">
        <v>0</v>
      </c>
      <c r="M56" s="571" t="str">
        <f t="shared" si="2"/>
        <v>n/a</v>
      </c>
      <c r="N56" s="566" t="str">
        <f t="shared" si="3"/>
        <v>n/a</v>
      </c>
    </row>
    <row r="57" spans="4:14" x14ac:dyDescent="0.3">
      <c r="D57" s="556">
        <v>201</v>
      </c>
      <c r="E57" s="557">
        <v>3.8938E-2</v>
      </c>
      <c r="F57" s="557">
        <v>3.4576000000000003E-2</v>
      </c>
      <c r="G57" s="557">
        <v>0</v>
      </c>
      <c r="H57" s="557">
        <v>0</v>
      </c>
      <c r="I57" s="557">
        <v>1.3741999999999999E-2</v>
      </c>
      <c r="J57" s="557">
        <v>1.2148000000000001E-2</v>
      </c>
      <c r="K57" s="557">
        <v>1.272858</v>
      </c>
      <c r="L57" s="557">
        <v>1.1278349999999999</v>
      </c>
      <c r="M57" s="571" t="str">
        <f t="shared" si="2"/>
        <v>n/a</v>
      </c>
      <c r="N57" s="566" t="str">
        <f t="shared" si="3"/>
        <v>n/a</v>
      </c>
    </row>
    <row r="58" spans="4:14" x14ac:dyDescent="0.3">
      <c r="D58" s="556">
        <v>202</v>
      </c>
      <c r="E58" s="557">
        <v>0</v>
      </c>
      <c r="F58" s="557">
        <v>0</v>
      </c>
      <c r="G58" s="557">
        <v>0</v>
      </c>
      <c r="H58" s="557">
        <v>0</v>
      </c>
      <c r="I58" s="557">
        <v>3.6200000000000002E-4</v>
      </c>
      <c r="J58" s="557">
        <v>3.8400000000000001E-4</v>
      </c>
      <c r="K58" s="557">
        <v>0</v>
      </c>
      <c r="L58" s="557">
        <v>0</v>
      </c>
      <c r="M58" s="571" t="str">
        <f t="shared" si="2"/>
        <v>n/a</v>
      </c>
      <c r="N58" s="566" t="str">
        <f t="shared" si="3"/>
        <v>n/a</v>
      </c>
    </row>
    <row r="59" spans="4:14" x14ac:dyDescent="0.3">
      <c r="D59" s="556">
        <v>209</v>
      </c>
      <c r="E59" s="557">
        <v>4.4377E-2</v>
      </c>
      <c r="F59" s="557">
        <v>4.9181999999999997E-2</v>
      </c>
      <c r="G59" s="557">
        <v>0</v>
      </c>
      <c r="H59" s="557">
        <v>0</v>
      </c>
      <c r="I59" s="557">
        <v>1.5412E-2</v>
      </c>
      <c r="J59" s="557">
        <v>1.6086E-2</v>
      </c>
      <c r="K59" s="557">
        <v>0.8027430000000001</v>
      </c>
      <c r="L59" s="557">
        <v>0.87219199999999997</v>
      </c>
      <c r="M59" s="571" t="str">
        <f t="shared" si="2"/>
        <v>n/a</v>
      </c>
      <c r="N59" s="566" t="str">
        <f t="shared" si="3"/>
        <v>n/a</v>
      </c>
    </row>
    <row r="60" spans="4:14" x14ac:dyDescent="0.3">
      <c r="D60" s="556">
        <v>211</v>
      </c>
      <c r="E60" s="557">
        <v>0</v>
      </c>
      <c r="F60" s="557">
        <v>0</v>
      </c>
      <c r="G60" s="557">
        <v>0</v>
      </c>
      <c r="H60" s="557">
        <v>0</v>
      </c>
      <c r="I60" s="557">
        <v>0</v>
      </c>
      <c r="J60" s="557">
        <v>0</v>
      </c>
      <c r="K60" s="557">
        <v>0</v>
      </c>
      <c r="L60" s="557">
        <v>0</v>
      </c>
      <c r="M60" s="571" t="str">
        <f t="shared" si="2"/>
        <v>n/a</v>
      </c>
      <c r="N60" s="566" t="str">
        <f t="shared" si="3"/>
        <v>n/a</v>
      </c>
    </row>
    <row r="61" spans="4:14" x14ac:dyDescent="0.3">
      <c r="D61" s="556">
        <v>230</v>
      </c>
      <c r="E61" s="557">
        <v>0</v>
      </c>
      <c r="F61" s="557">
        <v>0</v>
      </c>
      <c r="G61" s="557">
        <v>0</v>
      </c>
      <c r="H61" s="557">
        <v>0</v>
      </c>
      <c r="I61" s="557">
        <v>0</v>
      </c>
      <c r="J61" s="557">
        <v>0</v>
      </c>
      <c r="K61" s="557">
        <v>2.3921000000000001E-2</v>
      </c>
      <c r="L61" s="557">
        <v>4.3581999999999996E-2</v>
      </c>
      <c r="M61" s="571" t="str">
        <f t="shared" si="2"/>
        <v>n/a</v>
      </c>
      <c r="N61" s="566" t="str">
        <f t="shared" si="3"/>
        <v>n/a</v>
      </c>
    </row>
    <row r="62" spans="4:14" x14ac:dyDescent="0.3">
      <c r="D62" s="556">
        <v>241</v>
      </c>
      <c r="E62" s="557">
        <v>9.3203000000000008E-2</v>
      </c>
      <c r="F62" s="557">
        <v>0.104103</v>
      </c>
      <c r="G62" s="557">
        <v>9.4161000000000009E-2</v>
      </c>
      <c r="H62" s="557">
        <v>0.10490400000000001</v>
      </c>
      <c r="I62" s="557">
        <v>1.111734</v>
      </c>
      <c r="J62" s="557">
        <v>1.2375749999999999</v>
      </c>
      <c r="K62" s="557">
        <v>0.75656200000000007</v>
      </c>
      <c r="L62" s="557">
        <v>0.84067300000000011</v>
      </c>
      <c r="M62" s="571" t="str">
        <f t="shared" si="2"/>
        <v>n/a</v>
      </c>
      <c r="N62" s="566" t="str">
        <f t="shared" si="3"/>
        <v>n/a</v>
      </c>
    </row>
    <row r="63" spans="4:14" x14ac:dyDescent="0.3">
      <c r="D63" s="556">
        <v>242</v>
      </c>
      <c r="E63" s="557">
        <v>8.1859000000000015E-2</v>
      </c>
      <c r="F63" s="557">
        <v>8.9611999999999997E-2</v>
      </c>
      <c r="G63" s="557">
        <v>8.2700999999999997E-2</v>
      </c>
      <c r="H63" s="557">
        <v>9.0382999999999991E-2</v>
      </c>
      <c r="I63" s="557">
        <v>0.97640699999999991</v>
      </c>
      <c r="J63" s="557">
        <v>1.067221</v>
      </c>
      <c r="K63" s="557">
        <v>0.54702099999999998</v>
      </c>
      <c r="L63" s="557">
        <v>0.59677300000000011</v>
      </c>
      <c r="M63" s="571" t="str">
        <f t="shared" si="2"/>
        <v>n/a</v>
      </c>
      <c r="N63" s="566" t="str">
        <f t="shared" si="3"/>
        <v>n/a</v>
      </c>
    </row>
    <row r="64" spans="4:14" x14ac:dyDescent="0.3">
      <c r="D64" s="556">
        <v>249</v>
      </c>
      <c r="E64" s="557">
        <v>0.30846600000000002</v>
      </c>
      <c r="F64" s="557">
        <v>0.37736199999999998</v>
      </c>
      <c r="G64" s="557">
        <v>3.6170000000000001E-2</v>
      </c>
      <c r="H64" s="557">
        <v>4.4072E-2</v>
      </c>
      <c r="I64" s="557">
        <v>0.320963</v>
      </c>
      <c r="J64" s="557">
        <v>0.39117199999999996</v>
      </c>
      <c r="K64" s="557">
        <v>0.11781</v>
      </c>
      <c r="L64" s="557">
        <v>0.14235400000000001</v>
      </c>
      <c r="M64" s="571" t="str">
        <f t="shared" si="2"/>
        <v>n/a</v>
      </c>
      <c r="N64" s="566" t="str">
        <f t="shared" si="3"/>
        <v>n/a</v>
      </c>
    </row>
    <row r="65" spans="4:14" x14ac:dyDescent="0.3">
      <c r="D65" s="556">
        <v>251</v>
      </c>
      <c r="E65" s="557">
        <v>28.13779899999999</v>
      </c>
      <c r="F65" s="557">
        <v>45.656711999999999</v>
      </c>
      <c r="G65" s="557">
        <v>11.956735</v>
      </c>
      <c r="H65" s="557">
        <v>19.401760999999997</v>
      </c>
      <c r="I65" s="557">
        <v>6.5744439999999997</v>
      </c>
      <c r="J65" s="557">
        <v>10.668254999999998</v>
      </c>
      <c r="K65" s="557">
        <v>1.179119</v>
      </c>
      <c r="L65" s="557">
        <v>1.9119959999999998</v>
      </c>
      <c r="M65" s="571">
        <f t="shared" si="2"/>
        <v>-0.32735883946293087</v>
      </c>
      <c r="N65" s="566">
        <f t="shared" si="3"/>
        <v>-0.32741404609641989</v>
      </c>
    </row>
    <row r="66" spans="4:14" x14ac:dyDescent="0.3">
      <c r="D66" s="556">
        <v>259</v>
      </c>
      <c r="E66" s="557">
        <v>4.0015910000000003</v>
      </c>
      <c r="F66" s="557">
        <v>6.0561410000000002</v>
      </c>
      <c r="G66" s="557">
        <v>1.700102</v>
      </c>
      <c r="H66" s="557">
        <v>2.5728500000000007</v>
      </c>
      <c r="I66" s="557">
        <v>0.93306600000000006</v>
      </c>
      <c r="J66" s="557">
        <v>1.412013</v>
      </c>
      <c r="K66" s="557">
        <v>8.7037000000000003E-2</v>
      </c>
      <c r="L66" s="557">
        <v>0.13171099999999997</v>
      </c>
      <c r="M66" s="571">
        <f t="shared" si="2"/>
        <v>-0.38029656710858217</v>
      </c>
      <c r="N66" s="566">
        <f t="shared" si="3"/>
        <v>-0.38030461961454665</v>
      </c>
    </row>
    <row r="67" spans="4:14" x14ac:dyDescent="0.3">
      <c r="D67" s="556">
        <v>261</v>
      </c>
      <c r="E67" s="557">
        <v>7.2425829999999989</v>
      </c>
      <c r="F67" s="557">
        <v>7.634309</v>
      </c>
      <c r="G67" s="557">
        <v>5.4723349999999984</v>
      </c>
      <c r="H67" s="557">
        <v>5.7689649999999997</v>
      </c>
      <c r="I67" s="557">
        <v>6.8033819999999965</v>
      </c>
      <c r="J67" s="557">
        <v>7.160825</v>
      </c>
      <c r="K67" s="557">
        <v>568.62866900000006</v>
      </c>
      <c r="L67" s="557">
        <v>597.07080500000006</v>
      </c>
      <c r="M67" s="571">
        <f t="shared" si="2"/>
        <v>0.72530908379400771</v>
      </c>
      <c r="N67" s="566">
        <f t="shared" si="3"/>
        <v>0.72447543687631599</v>
      </c>
    </row>
    <row r="68" spans="4:14" x14ac:dyDescent="0.3">
      <c r="D68" s="556">
        <v>262</v>
      </c>
      <c r="E68" s="557">
        <v>1.97441</v>
      </c>
      <c r="F68" s="557">
        <v>2.1173950000000006</v>
      </c>
      <c r="G68" s="557">
        <v>1.4919219999999995</v>
      </c>
      <c r="H68" s="557">
        <v>1.6017650000000001</v>
      </c>
      <c r="I68" s="557">
        <v>1.8547429999999998</v>
      </c>
      <c r="J68" s="557">
        <v>1.9920080000000002</v>
      </c>
      <c r="K68" s="557">
        <v>141.64873900000001</v>
      </c>
      <c r="L68" s="557">
        <v>152.37940399999999</v>
      </c>
      <c r="M68" s="571">
        <f t="shared" si="2"/>
        <v>0.7059720883434133</v>
      </c>
      <c r="N68" s="566">
        <f t="shared" si="3"/>
        <v>0.70663460876158468</v>
      </c>
    </row>
    <row r="69" spans="4:14" x14ac:dyDescent="0.3">
      <c r="D69" s="556">
        <v>269</v>
      </c>
      <c r="E69" s="557">
        <v>2.3684970000000001</v>
      </c>
      <c r="F69" s="557">
        <v>2.722772</v>
      </c>
      <c r="G69" s="557">
        <v>0.89030299999999996</v>
      </c>
      <c r="H69" s="557">
        <v>1.013641</v>
      </c>
      <c r="I69" s="557">
        <v>1.7741279999999997</v>
      </c>
      <c r="J69" s="557">
        <v>2.0051600000000001</v>
      </c>
      <c r="K69" s="557">
        <v>219.02376699999999</v>
      </c>
      <c r="L69" s="557">
        <v>247.32975200000001</v>
      </c>
      <c r="M69" s="571">
        <f t="shared" si="2"/>
        <v>0.76097139194501473</v>
      </c>
      <c r="N69" s="566">
        <f t="shared" si="3"/>
        <v>0.75704601686377604</v>
      </c>
    </row>
    <row r="70" spans="4:14" x14ac:dyDescent="0.3">
      <c r="D70" s="556">
        <v>271</v>
      </c>
      <c r="E70" s="557">
        <v>0</v>
      </c>
      <c r="F70" s="557">
        <v>0</v>
      </c>
      <c r="G70" s="557">
        <v>0</v>
      </c>
      <c r="H70" s="557">
        <v>0</v>
      </c>
      <c r="I70" s="557">
        <v>0</v>
      </c>
      <c r="J70" s="557">
        <v>0</v>
      </c>
      <c r="K70" s="557">
        <v>0</v>
      </c>
      <c r="L70" s="557">
        <v>0</v>
      </c>
      <c r="M70" s="571" t="str">
        <f t="shared" si="2"/>
        <v>n/a</v>
      </c>
      <c r="N70" s="566" t="str">
        <f t="shared" si="3"/>
        <v>n/a</v>
      </c>
    </row>
    <row r="71" spans="4:14" x14ac:dyDescent="0.3">
      <c r="D71" s="556">
        <v>279</v>
      </c>
      <c r="E71" s="557">
        <v>5.8622E-2</v>
      </c>
      <c r="F71" s="557">
        <v>8.2394999999999996E-2</v>
      </c>
      <c r="G71" s="557">
        <v>1.245E-3</v>
      </c>
      <c r="H71" s="557">
        <v>1.7910000000000001E-3</v>
      </c>
      <c r="I71" s="557">
        <v>4.5800000000000002E-4</v>
      </c>
      <c r="J71" s="557">
        <v>6.5700000000000003E-4</v>
      </c>
      <c r="K71" s="557">
        <v>7.9621999999999998E-2</v>
      </c>
      <c r="L71" s="557">
        <v>0.11408699999999999</v>
      </c>
      <c r="M71" s="571" t="str">
        <f t="shared" si="2"/>
        <v>n/a</v>
      </c>
      <c r="N71" s="566" t="str">
        <f t="shared" si="3"/>
        <v>n/a</v>
      </c>
    </row>
    <row r="72" spans="4:14" x14ac:dyDescent="0.3">
      <c r="D72" s="556">
        <v>280</v>
      </c>
      <c r="E72" s="557">
        <v>100.62341299999999</v>
      </c>
      <c r="F72" s="557">
        <v>21.441671999999997</v>
      </c>
      <c r="G72" s="557">
        <v>104.89971699999998</v>
      </c>
      <c r="H72" s="557">
        <v>22.766278</v>
      </c>
      <c r="I72" s="557">
        <v>86.135383000000033</v>
      </c>
      <c r="J72" s="557">
        <v>18.553029000000006</v>
      </c>
      <c r="K72" s="557">
        <v>324.11652599999996</v>
      </c>
      <c r="L72" s="557">
        <v>70.890851999999981</v>
      </c>
      <c r="M72" s="571">
        <f t="shared" si="2"/>
        <v>0.15744474216350879</v>
      </c>
      <c r="N72" s="566">
        <f t="shared" si="3"/>
        <v>0.16122517724178653</v>
      </c>
    </row>
    <row r="73" spans="4:14" x14ac:dyDescent="0.3">
      <c r="D73" s="556">
        <v>291</v>
      </c>
      <c r="E73" s="557">
        <v>2.7586210000000002</v>
      </c>
      <c r="F73" s="557">
        <v>2.5244420000000001</v>
      </c>
      <c r="G73" s="557">
        <v>1.1375409999999997</v>
      </c>
      <c r="H73" s="557">
        <v>1.0166339999999998</v>
      </c>
      <c r="I73" s="557">
        <v>1.6285540000000003</v>
      </c>
      <c r="J73" s="557">
        <v>1.4646230000000002</v>
      </c>
      <c r="K73" s="557">
        <v>41.824239000000027</v>
      </c>
      <c r="L73" s="557">
        <v>37.251982000000005</v>
      </c>
      <c r="M73" s="571">
        <f t="shared" si="2"/>
        <v>0.40472723034228109</v>
      </c>
      <c r="N73" s="566">
        <f t="shared" si="3"/>
        <v>0.39998376189451035</v>
      </c>
    </row>
    <row r="74" spans="4:14" x14ac:dyDescent="0.3">
      <c r="D74" s="556">
        <v>292</v>
      </c>
      <c r="E74" s="557">
        <v>1.2184619999999999</v>
      </c>
      <c r="F74" s="557">
        <v>0.89145700000000005</v>
      </c>
      <c r="G74" s="557">
        <v>5.7008999999999997E-2</v>
      </c>
      <c r="H74" s="557">
        <v>4.1708999999999996E-2</v>
      </c>
      <c r="I74" s="557">
        <v>1.8876E-2</v>
      </c>
      <c r="J74" s="557">
        <v>1.3978000000000001E-2</v>
      </c>
      <c r="K74" s="557">
        <v>0</v>
      </c>
      <c r="L74" s="557">
        <v>0</v>
      </c>
      <c r="M74" s="571">
        <f t="shared" si="2"/>
        <v>-1</v>
      </c>
      <c r="N74" s="566" t="str">
        <f t="shared" si="3"/>
        <v>n/a</v>
      </c>
    </row>
    <row r="75" spans="4:14" x14ac:dyDescent="0.3">
      <c r="D75" s="556">
        <v>299</v>
      </c>
      <c r="E75" s="557">
        <v>1.3970100000000003</v>
      </c>
      <c r="F75" s="557">
        <v>1.1248659999999999</v>
      </c>
      <c r="G75" s="557">
        <v>6.5362000000000003E-2</v>
      </c>
      <c r="H75" s="557">
        <v>5.2628999999999995E-2</v>
      </c>
      <c r="I75" s="557">
        <v>2.1642000000000002E-2</v>
      </c>
      <c r="J75" s="557">
        <v>1.7600999999999999E-2</v>
      </c>
      <c r="K75" s="557">
        <v>0</v>
      </c>
      <c r="L75" s="557">
        <v>0</v>
      </c>
      <c r="M75" s="571">
        <f t="shared" si="2"/>
        <v>-1</v>
      </c>
      <c r="N75" s="566">
        <f t="shared" si="3"/>
        <v>-1</v>
      </c>
    </row>
    <row r="76" spans="4:14" x14ac:dyDescent="0.3">
      <c r="D76" s="556">
        <v>300</v>
      </c>
      <c r="E76" s="557">
        <v>0</v>
      </c>
      <c r="F76" s="557">
        <v>0</v>
      </c>
      <c r="G76" s="557">
        <v>0</v>
      </c>
      <c r="H76" s="557">
        <v>0</v>
      </c>
      <c r="I76" s="557">
        <v>0</v>
      </c>
      <c r="J76" s="557">
        <v>0</v>
      </c>
      <c r="K76" s="557">
        <v>0</v>
      </c>
      <c r="L76" s="557">
        <v>0</v>
      </c>
      <c r="M76" s="571" t="str">
        <f t="shared" si="2"/>
        <v>n/a</v>
      </c>
      <c r="N76" s="566" t="str">
        <f t="shared" si="3"/>
        <v>n/a</v>
      </c>
    </row>
    <row r="77" spans="4:14" x14ac:dyDescent="0.3">
      <c r="D77" s="556">
        <v>311</v>
      </c>
      <c r="E77" s="557">
        <v>2.5701000000000002E-2</v>
      </c>
      <c r="F77" s="557">
        <v>2.8733000000000002E-2</v>
      </c>
      <c r="G77" s="557">
        <v>2.5750000000000002E-2</v>
      </c>
      <c r="H77" s="557">
        <v>2.8686E-2</v>
      </c>
      <c r="I77" s="557">
        <v>1.6652999999999998E-2</v>
      </c>
      <c r="J77" s="557">
        <v>1.8544000000000001E-2</v>
      </c>
      <c r="K77" s="557">
        <v>0.90234899999999996</v>
      </c>
      <c r="L77" s="557">
        <v>1.0034810000000001</v>
      </c>
      <c r="M77" s="571" t="str">
        <f t="shared" si="2"/>
        <v>n/a</v>
      </c>
      <c r="N77" s="566" t="str">
        <f t="shared" si="3"/>
        <v>n/a</v>
      </c>
    </row>
    <row r="78" spans="4:14" x14ac:dyDescent="0.3">
      <c r="D78" s="556">
        <v>319</v>
      </c>
      <c r="E78" s="557">
        <v>3.2489999999999998E-2</v>
      </c>
      <c r="F78" s="557">
        <v>4.0611999999999995E-2</v>
      </c>
      <c r="G78" s="557">
        <v>3.2554E-2</v>
      </c>
      <c r="H78" s="557">
        <v>4.0443E-2</v>
      </c>
      <c r="I78" s="557">
        <v>2.1055000000000001E-2</v>
      </c>
      <c r="J78" s="557">
        <v>2.613E-2</v>
      </c>
      <c r="K78" s="557">
        <v>0.74251200000000006</v>
      </c>
      <c r="L78" s="557">
        <v>0.90379600000000004</v>
      </c>
      <c r="M78" s="571" t="str">
        <f t="shared" si="2"/>
        <v>n/a</v>
      </c>
      <c r="N78" s="566" t="str">
        <f t="shared" si="3"/>
        <v>n/a</v>
      </c>
    </row>
    <row r="79" spans="4:14" x14ac:dyDescent="0.3">
      <c r="D79" s="556">
        <v>321</v>
      </c>
      <c r="E79" s="557">
        <v>9.7999999999999997E-4</v>
      </c>
      <c r="F79" s="557">
        <v>2.297E-3</v>
      </c>
      <c r="G79" s="557">
        <v>3.1870000000000002E-3</v>
      </c>
      <c r="H79" s="557">
        <v>7.4710000000000002E-3</v>
      </c>
      <c r="I79" s="557">
        <v>0</v>
      </c>
      <c r="J79" s="557">
        <v>0</v>
      </c>
      <c r="K79" s="557">
        <v>0</v>
      </c>
      <c r="L79" s="557">
        <v>0</v>
      </c>
      <c r="M79" s="571" t="str">
        <f t="shared" si="2"/>
        <v>n/a</v>
      </c>
      <c r="N79" s="566" t="str">
        <f t="shared" si="3"/>
        <v>n/a</v>
      </c>
    </row>
    <row r="80" spans="4:14" x14ac:dyDescent="0.3">
      <c r="D80" s="556">
        <v>329</v>
      </c>
      <c r="E80" s="557">
        <v>0</v>
      </c>
      <c r="F80" s="557">
        <v>0</v>
      </c>
      <c r="G80" s="557">
        <v>1.0660000000000001E-3</v>
      </c>
      <c r="H80" s="557">
        <v>2.6870000000000002E-3</v>
      </c>
      <c r="I80" s="557">
        <v>8.1000000000000004E-5</v>
      </c>
      <c r="J80" s="557">
        <v>2.05E-4</v>
      </c>
      <c r="K80" s="557">
        <v>0</v>
      </c>
      <c r="L80" s="557">
        <v>0</v>
      </c>
      <c r="M80" s="571" t="str">
        <f t="shared" si="2"/>
        <v>n/a</v>
      </c>
      <c r="N80" s="566" t="str">
        <f t="shared" si="3"/>
        <v>n/a</v>
      </c>
    </row>
    <row r="81" spans="4:14" x14ac:dyDescent="0.3">
      <c r="D81" s="556">
        <v>331</v>
      </c>
      <c r="E81" s="557">
        <v>1.8346199999999999</v>
      </c>
      <c r="F81" s="557">
        <v>3.0307300000000001</v>
      </c>
      <c r="G81" s="557">
        <v>2.6510000000000001E-3</v>
      </c>
      <c r="H81" s="557">
        <v>4.372E-3</v>
      </c>
      <c r="I81" s="557">
        <v>0.17444100000000001</v>
      </c>
      <c r="J81" s="557">
        <v>0.28793099999999999</v>
      </c>
      <c r="K81" s="557">
        <v>1.0325759999999999</v>
      </c>
      <c r="L81" s="557">
        <v>1.7034779999999998</v>
      </c>
      <c r="M81" s="571">
        <f t="shared" si="2"/>
        <v>-6.9327271713693128E-2</v>
      </c>
      <c r="N81" s="566">
        <f t="shared" si="3"/>
        <v>-6.9484396308810092E-2</v>
      </c>
    </row>
    <row r="82" spans="4:14" x14ac:dyDescent="0.3">
      <c r="D82" s="556">
        <v>339</v>
      </c>
      <c r="E82" s="557">
        <v>0.49777700000000003</v>
      </c>
      <c r="F82" s="557">
        <v>0.83612600000000004</v>
      </c>
      <c r="G82" s="557">
        <v>7.2099999999999996E-4</v>
      </c>
      <c r="H82" s="557">
        <v>1.222E-3</v>
      </c>
      <c r="I82" s="557">
        <v>4.7125E-2</v>
      </c>
      <c r="J82" s="557">
        <v>7.9519000000000006E-2</v>
      </c>
      <c r="K82" s="557">
        <v>0.22418400000000005</v>
      </c>
      <c r="L82" s="557">
        <v>0.37901899999999999</v>
      </c>
      <c r="M82" s="571" t="str">
        <f t="shared" si="2"/>
        <v>n/a</v>
      </c>
      <c r="N82" s="566" t="str">
        <f t="shared" si="3"/>
        <v>n/a</v>
      </c>
    </row>
    <row r="83" spans="4:14" x14ac:dyDescent="0.3">
      <c r="D83" s="556">
        <v>341</v>
      </c>
      <c r="E83" s="557">
        <v>4.0540000000000003E-3</v>
      </c>
      <c r="F83" s="557">
        <v>5.2339999999999999E-3</v>
      </c>
      <c r="G83" s="557">
        <v>0</v>
      </c>
      <c r="H83" s="557">
        <v>0</v>
      </c>
      <c r="I83" s="557">
        <v>0</v>
      </c>
      <c r="J83" s="557">
        <v>0</v>
      </c>
      <c r="K83" s="557">
        <v>4.8310000000000002E-3</v>
      </c>
      <c r="L83" s="557">
        <v>6.2249999999999996E-3</v>
      </c>
      <c r="M83" s="571" t="str">
        <f t="shared" ref="M83:M114" si="4">IFERROR(IF(OR(E83&lt;1,E83=0),"n/a",((K83/E83)^(1/(2030-2022)))-1),"n/a")</f>
        <v>n/a</v>
      </c>
      <c r="N83" s="566" t="str">
        <f t="shared" ref="N83:N114" si="5">IFERROR(IF(OR(F83&lt;1,F83=0),"n/a",((L83/F83)^(1/(2030-2022)))-1),"n/a")</f>
        <v>n/a</v>
      </c>
    </row>
    <row r="84" spans="4:14" x14ac:dyDescent="0.3">
      <c r="D84" s="556">
        <v>342</v>
      </c>
      <c r="E84" s="557">
        <v>1.041E-3</v>
      </c>
      <c r="F84" s="557">
        <v>1.2980000000000001E-3</v>
      </c>
      <c r="G84" s="557">
        <v>0</v>
      </c>
      <c r="H84" s="557">
        <v>0</v>
      </c>
      <c r="I84" s="557">
        <v>0</v>
      </c>
      <c r="J84" s="557">
        <v>0</v>
      </c>
      <c r="K84" s="557">
        <v>1.9804000000000002E-2</v>
      </c>
      <c r="L84" s="557">
        <v>2.4471E-2</v>
      </c>
      <c r="M84" s="571" t="str">
        <f t="shared" si="4"/>
        <v>n/a</v>
      </c>
      <c r="N84" s="566" t="str">
        <f t="shared" si="5"/>
        <v>n/a</v>
      </c>
    </row>
    <row r="85" spans="4:14" x14ac:dyDescent="0.3">
      <c r="D85" s="556">
        <v>361</v>
      </c>
      <c r="E85" s="557">
        <v>0.94493399999999994</v>
      </c>
      <c r="F85" s="557">
        <v>1.3827859999999998</v>
      </c>
      <c r="G85" s="557">
        <v>1.0710169999999997</v>
      </c>
      <c r="H85" s="557">
        <v>1.5661590000000003</v>
      </c>
      <c r="I85" s="557">
        <v>3.1805749999999993</v>
      </c>
      <c r="J85" s="557">
        <v>4.6486799999999988</v>
      </c>
      <c r="K85" s="557">
        <v>0.85648699999999955</v>
      </c>
      <c r="L85" s="557">
        <v>1.2518590000000003</v>
      </c>
      <c r="M85" s="571" t="str">
        <f t="shared" si="4"/>
        <v>n/a</v>
      </c>
      <c r="N85" s="566">
        <f t="shared" si="5"/>
        <v>-1.2356851555671233E-2</v>
      </c>
    </row>
    <row r="86" spans="4:14" x14ac:dyDescent="0.3">
      <c r="D86" s="556">
        <v>362</v>
      </c>
      <c r="E86" s="557">
        <v>0.97370500000000004</v>
      </c>
      <c r="F86" s="557">
        <v>1.202197</v>
      </c>
      <c r="G86" s="557">
        <v>1.1036330000000003</v>
      </c>
      <c r="H86" s="557">
        <v>1.3594780000000002</v>
      </c>
      <c r="I86" s="557">
        <v>3.2774379999999992</v>
      </c>
      <c r="J86" s="557">
        <v>4.033538000000001</v>
      </c>
      <c r="K86" s="557">
        <v>0.90263499999999997</v>
      </c>
      <c r="L86" s="557">
        <v>1.1139780000000001</v>
      </c>
      <c r="M86" s="571" t="str">
        <f t="shared" si="4"/>
        <v>n/a</v>
      </c>
      <c r="N86" s="566">
        <f t="shared" si="5"/>
        <v>-9.4814305249879549E-3</v>
      </c>
    </row>
    <row r="87" spans="4:14" x14ac:dyDescent="0.3">
      <c r="D87" s="556">
        <v>363</v>
      </c>
      <c r="E87" s="557">
        <v>4.0062119999999988</v>
      </c>
      <c r="F87" s="557">
        <v>5.4876869999999993</v>
      </c>
      <c r="G87" s="557">
        <v>3.6517570000000004</v>
      </c>
      <c r="H87" s="557">
        <v>5.0019389999999975</v>
      </c>
      <c r="I87" s="557">
        <v>12.516426000000001</v>
      </c>
      <c r="J87" s="557">
        <v>17.207946</v>
      </c>
      <c r="K87" s="557">
        <v>6.8324909999999983</v>
      </c>
      <c r="L87" s="557">
        <v>9.3199419999999993</v>
      </c>
      <c r="M87" s="571">
        <f t="shared" si="4"/>
        <v>6.900723031013789E-2</v>
      </c>
      <c r="N87" s="566">
        <f t="shared" si="5"/>
        <v>6.8447001579592825E-2</v>
      </c>
    </row>
    <row r="88" spans="4:14" x14ac:dyDescent="0.3">
      <c r="D88" s="556">
        <v>364</v>
      </c>
      <c r="E88" s="557">
        <v>0.93897899999999979</v>
      </c>
      <c r="F88" s="557">
        <v>1.2183630000000001</v>
      </c>
      <c r="G88" s="557">
        <v>1.0642720000000001</v>
      </c>
      <c r="H88" s="557">
        <v>1.3792629999999999</v>
      </c>
      <c r="I88" s="557">
        <v>3.1605419999999995</v>
      </c>
      <c r="J88" s="557">
        <v>4.0946289999999994</v>
      </c>
      <c r="K88" s="557">
        <v>0.88129799999999969</v>
      </c>
      <c r="L88" s="557">
        <v>1.1440569999999999</v>
      </c>
      <c r="M88" s="571" t="str">
        <f t="shared" si="4"/>
        <v>n/a</v>
      </c>
      <c r="N88" s="566">
        <f t="shared" si="5"/>
        <v>-7.8350742242431215E-3</v>
      </c>
    </row>
    <row r="89" spans="4:14" x14ac:dyDescent="0.3">
      <c r="D89" s="556">
        <v>369</v>
      </c>
      <c r="E89" s="557">
        <v>2.0407829999999998</v>
      </c>
      <c r="F89" s="557">
        <v>2.830076</v>
      </c>
      <c r="G89" s="557">
        <v>2.3090599999999992</v>
      </c>
      <c r="H89" s="557">
        <v>3.1569919999999994</v>
      </c>
      <c r="I89" s="557">
        <v>6.8561870000000029</v>
      </c>
      <c r="J89" s="557">
        <v>9.3661729999999999</v>
      </c>
      <c r="K89" s="557">
        <v>1.3827180000000014</v>
      </c>
      <c r="L89" s="557">
        <v>1.9275410000000004</v>
      </c>
      <c r="M89" s="571">
        <f t="shared" si="4"/>
        <v>-4.7495363047017181E-2</v>
      </c>
      <c r="N89" s="566">
        <f t="shared" si="5"/>
        <v>-4.6873179007876908E-2</v>
      </c>
    </row>
    <row r="90" spans="4:14" x14ac:dyDescent="0.3">
      <c r="D90" s="556">
        <v>371</v>
      </c>
      <c r="E90" s="557">
        <v>1.3860000000000001E-2</v>
      </c>
      <c r="F90" s="557">
        <v>9.4549999999999999E-3</v>
      </c>
      <c r="G90" s="557">
        <v>1.4562E-2</v>
      </c>
      <c r="H90" s="557">
        <v>9.9329999999999991E-3</v>
      </c>
      <c r="I90" s="557">
        <v>1.9066E-2</v>
      </c>
      <c r="J90" s="557">
        <v>1.3006000000000002E-2</v>
      </c>
      <c r="K90" s="557">
        <v>1.9207999999999999E-2</v>
      </c>
      <c r="L90" s="557">
        <v>1.2936999999999999E-2</v>
      </c>
      <c r="M90" s="571" t="str">
        <f t="shared" si="4"/>
        <v>n/a</v>
      </c>
      <c r="N90" s="566" t="str">
        <f t="shared" si="5"/>
        <v>n/a</v>
      </c>
    </row>
    <row r="91" spans="4:14" x14ac:dyDescent="0.3">
      <c r="D91" s="556">
        <v>372</v>
      </c>
      <c r="E91" s="557">
        <v>1.0058000000000001E-2</v>
      </c>
      <c r="F91" s="557">
        <v>7.9049999999999988E-3</v>
      </c>
      <c r="G91" s="557">
        <v>1.0567E-2</v>
      </c>
      <c r="H91" s="557">
        <v>8.3039999999999989E-3</v>
      </c>
      <c r="I91" s="557">
        <v>1.3833999999999999E-2</v>
      </c>
      <c r="J91" s="557">
        <v>1.0873000000000001E-2</v>
      </c>
      <c r="K91" s="557">
        <v>9.5549999999999993E-3</v>
      </c>
      <c r="L91" s="557">
        <v>7.4959999999999992E-3</v>
      </c>
      <c r="M91" s="571" t="str">
        <f t="shared" si="4"/>
        <v>n/a</v>
      </c>
      <c r="N91" s="566" t="str">
        <f t="shared" si="5"/>
        <v>n/a</v>
      </c>
    </row>
    <row r="92" spans="4:14" x14ac:dyDescent="0.3">
      <c r="D92" s="556">
        <v>373</v>
      </c>
      <c r="E92" s="557">
        <v>14.069390000000002</v>
      </c>
      <c r="F92" s="557">
        <v>10.969882999999999</v>
      </c>
      <c r="G92" s="557">
        <v>15.115850999999999</v>
      </c>
      <c r="H92" s="557">
        <v>11.803909000000003</v>
      </c>
      <c r="I92" s="557">
        <v>5.8902059999999992</v>
      </c>
      <c r="J92" s="557">
        <v>4.6045409999999993</v>
      </c>
      <c r="K92" s="557">
        <v>216.55757100000008</v>
      </c>
      <c r="L92" s="557">
        <v>167.89943000000014</v>
      </c>
      <c r="M92" s="571">
        <f t="shared" si="4"/>
        <v>0.40738287715122223</v>
      </c>
      <c r="N92" s="566">
        <f t="shared" si="5"/>
        <v>0.40639043243936213</v>
      </c>
    </row>
    <row r="93" spans="4:14" x14ac:dyDescent="0.3">
      <c r="D93" s="556">
        <v>379</v>
      </c>
      <c r="E93" s="557">
        <v>26.348082999999999</v>
      </c>
      <c r="F93" s="557">
        <v>18.371137000000004</v>
      </c>
      <c r="G93" s="557">
        <v>28.306024999999995</v>
      </c>
      <c r="H93" s="557">
        <v>20.385910999999993</v>
      </c>
      <c r="I93" s="557">
        <v>11.034611000000004</v>
      </c>
      <c r="J93" s="557">
        <v>8.0192870000000021</v>
      </c>
      <c r="K93" s="557">
        <v>208.084339</v>
      </c>
      <c r="L93" s="557">
        <v>142.89057300000005</v>
      </c>
      <c r="M93" s="571">
        <f t="shared" si="4"/>
        <v>0.29475112351770805</v>
      </c>
      <c r="N93" s="566">
        <f t="shared" si="5"/>
        <v>0.29228541477319436</v>
      </c>
    </row>
    <row r="94" spans="4:14" x14ac:dyDescent="0.3">
      <c r="D94" s="556">
        <v>391</v>
      </c>
      <c r="E94" s="557">
        <v>9.495E-3</v>
      </c>
      <c r="F94" s="557">
        <v>7.7060000000000002E-3</v>
      </c>
      <c r="G94" s="557">
        <v>4.901E-3</v>
      </c>
      <c r="H94" s="557">
        <v>3.9769999999999996E-3</v>
      </c>
      <c r="I94" s="557">
        <v>7.5399999999999998E-3</v>
      </c>
      <c r="J94" s="557">
        <v>6.1190000000000003E-3</v>
      </c>
      <c r="K94" s="557">
        <v>0</v>
      </c>
      <c r="L94" s="557">
        <v>0</v>
      </c>
      <c r="M94" s="571" t="str">
        <f t="shared" si="4"/>
        <v>n/a</v>
      </c>
      <c r="N94" s="566" t="str">
        <f t="shared" si="5"/>
        <v>n/a</v>
      </c>
    </row>
    <row r="95" spans="4:14" x14ac:dyDescent="0.3">
      <c r="D95" s="556">
        <v>392</v>
      </c>
      <c r="E95" s="557">
        <v>42.778762000000015</v>
      </c>
      <c r="F95" s="557">
        <v>44.513459000000005</v>
      </c>
      <c r="G95" s="557">
        <v>28.507929999999998</v>
      </c>
      <c r="H95" s="557">
        <v>29.690533999999989</v>
      </c>
      <c r="I95" s="557">
        <v>32.114133000000002</v>
      </c>
      <c r="J95" s="557">
        <v>33.444897999999995</v>
      </c>
      <c r="K95" s="557">
        <v>182.13818299999997</v>
      </c>
      <c r="L95" s="557">
        <v>189.52253100000004</v>
      </c>
      <c r="M95" s="571">
        <f t="shared" si="4"/>
        <v>0.19852362306176152</v>
      </c>
      <c r="N95" s="566">
        <f t="shared" si="5"/>
        <v>0.19852249044287551</v>
      </c>
    </row>
    <row r="96" spans="4:14" x14ac:dyDescent="0.3">
      <c r="D96" s="556">
        <v>393</v>
      </c>
      <c r="E96" s="557">
        <v>30.517558000000005</v>
      </c>
      <c r="F96" s="557">
        <v>27.190224000000004</v>
      </c>
      <c r="G96" s="557">
        <v>20.337017000000003</v>
      </c>
      <c r="H96" s="557">
        <v>18.082671000000005</v>
      </c>
      <c r="I96" s="557">
        <v>22.909615999999989</v>
      </c>
      <c r="J96" s="557">
        <v>20.385175999999994</v>
      </c>
      <c r="K96" s="557">
        <v>126.55786199999999</v>
      </c>
      <c r="L96" s="557">
        <v>112.45230699999999</v>
      </c>
      <c r="M96" s="571">
        <f t="shared" si="4"/>
        <v>0.19458599490020601</v>
      </c>
      <c r="N96" s="566">
        <f t="shared" si="5"/>
        <v>0.19417905033320149</v>
      </c>
    </row>
    <row r="97" spans="4:14" x14ac:dyDescent="0.3">
      <c r="D97" s="556">
        <v>394</v>
      </c>
      <c r="E97" s="557">
        <v>12.998989</v>
      </c>
      <c r="F97" s="557">
        <v>10.998142</v>
      </c>
      <c r="G97" s="557">
        <v>8.6931330000000013</v>
      </c>
      <c r="H97" s="557">
        <v>7.3595049999999986</v>
      </c>
      <c r="I97" s="557">
        <v>9.6318879999999965</v>
      </c>
      <c r="J97" s="557">
        <v>8.1560170000000021</v>
      </c>
      <c r="K97" s="557">
        <v>40.402344999999997</v>
      </c>
      <c r="L97" s="557">
        <v>34.223945999999998</v>
      </c>
      <c r="M97" s="571">
        <f t="shared" si="4"/>
        <v>0.15229087991688228</v>
      </c>
      <c r="N97" s="566">
        <f t="shared" si="5"/>
        <v>0.15246128499850231</v>
      </c>
    </row>
    <row r="98" spans="4:14" x14ac:dyDescent="0.3">
      <c r="D98" s="556">
        <v>399</v>
      </c>
      <c r="E98" s="557">
        <v>1.6074999999999999E-2</v>
      </c>
      <c r="F98" s="557">
        <v>1.5687E-2</v>
      </c>
      <c r="G98" s="557">
        <v>8.2970000000000006E-3</v>
      </c>
      <c r="H98" s="557">
        <v>8.097E-3</v>
      </c>
      <c r="I98" s="557">
        <v>1.2765E-2</v>
      </c>
      <c r="J98" s="557">
        <v>1.2456999999999999E-2</v>
      </c>
      <c r="K98" s="557">
        <v>0</v>
      </c>
      <c r="L98" s="557">
        <v>0</v>
      </c>
      <c r="M98" s="571" t="str">
        <f t="shared" si="4"/>
        <v>n/a</v>
      </c>
      <c r="N98" s="566" t="str">
        <f t="shared" si="5"/>
        <v>n/a</v>
      </c>
    </row>
    <row r="99" spans="4:14" x14ac:dyDescent="0.3">
      <c r="D99" s="556">
        <v>401</v>
      </c>
      <c r="E99" s="557">
        <v>5.5754000000000005E-2</v>
      </c>
      <c r="F99" s="557">
        <v>5.0165000000000001E-2</v>
      </c>
      <c r="G99" s="557">
        <v>9.3609999999999999E-2</v>
      </c>
      <c r="H99" s="557">
        <v>8.4226999999999996E-2</v>
      </c>
      <c r="I99" s="557">
        <v>0.12121700000000001</v>
      </c>
      <c r="J99" s="557">
        <v>0.109066</v>
      </c>
      <c r="K99" s="557">
        <v>0</v>
      </c>
      <c r="L99" s="557">
        <v>0</v>
      </c>
      <c r="M99" s="571" t="str">
        <f t="shared" si="4"/>
        <v>n/a</v>
      </c>
      <c r="N99" s="566" t="str">
        <f t="shared" si="5"/>
        <v>n/a</v>
      </c>
    </row>
    <row r="100" spans="4:14" x14ac:dyDescent="0.3">
      <c r="D100" s="556">
        <v>402</v>
      </c>
      <c r="E100" s="557">
        <v>4.4538000000000001E-2</v>
      </c>
      <c r="F100" s="557">
        <v>3.8432000000000001E-2</v>
      </c>
      <c r="G100" s="557">
        <v>7.4777999999999997E-2</v>
      </c>
      <c r="H100" s="557">
        <v>6.4526E-2</v>
      </c>
      <c r="I100" s="557">
        <v>9.6831E-2</v>
      </c>
      <c r="J100" s="557">
        <v>8.3555999999999991E-2</v>
      </c>
      <c r="K100" s="557">
        <v>0</v>
      </c>
      <c r="L100" s="557">
        <v>0</v>
      </c>
      <c r="M100" s="571" t="str">
        <f t="shared" si="4"/>
        <v>n/a</v>
      </c>
      <c r="N100" s="566" t="str">
        <f t="shared" si="5"/>
        <v>n/a</v>
      </c>
    </row>
    <row r="101" spans="4:14" x14ac:dyDescent="0.3">
      <c r="D101" s="556">
        <v>409</v>
      </c>
      <c r="E101" s="557">
        <v>227.33977099999996</v>
      </c>
      <c r="F101" s="557">
        <v>178.609365</v>
      </c>
      <c r="G101" s="557">
        <v>122.30667800000001</v>
      </c>
      <c r="H101" s="557">
        <v>97.474752999999993</v>
      </c>
      <c r="I101" s="557">
        <v>128.09846899999999</v>
      </c>
      <c r="J101" s="557">
        <v>103.55198700000001</v>
      </c>
      <c r="K101" s="557">
        <v>78.037693000000019</v>
      </c>
      <c r="L101" s="557">
        <v>66.235757000000007</v>
      </c>
      <c r="M101" s="571">
        <f t="shared" si="4"/>
        <v>-0.12510965167318833</v>
      </c>
      <c r="N101" s="566">
        <f t="shared" si="5"/>
        <v>-0.11661802239598007</v>
      </c>
    </row>
    <row r="102" spans="4:14" x14ac:dyDescent="0.3">
      <c r="D102" s="556">
        <v>411</v>
      </c>
      <c r="E102" s="557">
        <v>0.18074000000000001</v>
      </c>
      <c r="F102" s="557">
        <v>0.52582099999999998</v>
      </c>
      <c r="G102" s="557">
        <v>0.14508400000000002</v>
      </c>
      <c r="H102" s="557">
        <v>0.42211700000000002</v>
      </c>
      <c r="I102" s="557">
        <v>0.14941399999999999</v>
      </c>
      <c r="J102" s="557">
        <v>0.43462200000000001</v>
      </c>
      <c r="K102" s="557">
        <v>1.1271990000000001</v>
      </c>
      <c r="L102" s="557">
        <v>3.2772540000000001</v>
      </c>
      <c r="M102" s="571" t="str">
        <f t="shared" si="4"/>
        <v>n/a</v>
      </c>
      <c r="N102" s="566" t="str">
        <f t="shared" si="5"/>
        <v>n/a</v>
      </c>
    </row>
    <row r="103" spans="4:14" x14ac:dyDescent="0.3">
      <c r="D103" s="556">
        <v>419</v>
      </c>
      <c r="E103" s="557">
        <v>0.115756</v>
      </c>
      <c r="F103" s="557">
        <v>0.34115299999999998</v>
      </c>
      <c r="G103" s="557">
        <v>8.9488999999999999E-2</v>
      </c>
      <c r="H103" s="557">
        <v>0.26354100000000003</v>
      </c>
      <c r="I103" s="557">
        <v>9.3110999999999999E-2</v>
      </c>
      <c r="J103" s="557">
        <v>0.27399799999999996</v>
      </c>
      <c r="K103" s="557">
        <v>0.43740800000000002</v>
      </c>
      <c r="L103" s="557">
        <v>1.2720670000000001</v>
      </c>
      <c r="M103" s="571" t="str">
        <f t="shared" si="4"/>
        <v>n/a</v>
      </c>
      <c r="N103" s="566" t="str">
        <f t="shared" si="5"/>
        <v>n/a</v>
      </c>
    </row>
    <row r="104" spans="4:14" x14ac:dyDescent="0.3">
      <c r="D104" s="556">
        <v>421</v>
      </c>
      <c r="E104" s="557">
        <v>0.18190799999999999</v>
      </c>
      <c r="F104" s="557">
        <v>0.221414</v>
      </c>
      <c r="G104" s="557">
        <v>3.6549999999999998E-3</v>
      </c>
      <c r="H104" s="557">
        <v>4.4489999999999998E-3</v>
      </c>
      <c r="I104" s="557">
        <v>2.3149999999999998E-3</v>
      </c>
      <c r="J104" s="557">
        <v>2.8170000000000001E-3</v>
      </c>
      <c r="K104" s="557">
        <v>0</v>
      </c>
      <c r="L104" s="557">
        <v>0</v>
      </c>
      <c r="M104" s="571" t="str">
        <f t="shared" si="4"/>
        <v>n/a</v>
      </c>
      <c r="N104" s="566" t="str">
        <f t="shared" si="5"/>
        <v>n/a</v>
      </c>
    </row>
    <row r="105" spans="4:14" x14ac:dyDescent="0.3">
      <c r="D105" s="556">
        <v>422</v>
      </c>
      <c r="E105" s="557">
        <v>9.9375999999999992E-2</v>
      </c>
      <c r="F105" s="557">
        <v>0.11634000000000001</v>
      </c>
      <c r="G105" s="557">
        <v>2.0170000000000001E-3</v>
      </c>
      <c r="H105" s="557">
        <v>2.3609999999999998E-3</v>
      </c>
      <c r="I105" s="557">
        <v>1.2769999999999999E-3</v>
      </c>
      <c r="J105" s="557">
        <v>1.495E-3</v>
      </c>
      <c r="K105" s="557">
        <v>0</v>
      </c>
      <c r="L105" s="557">
        <v>0</v>
      </c>
      <c r="M105" s="571" t="str">
        <f t="shared" si="4"/>
        <v>n/a</v>
      </c>
      <c r="N105" s="566" t="str">
        <f t="shared" si="5"/>
        <v>n/a</v>
      </c>
    </row>
    <row r="106" spans="4:14" x14ac:dyDescent="0.3">
      <c r="D106" s="556">
        <v>423</v>
      </c>
      <c r="E106" s="557">
        <v>0.98111599999999999</v>
      </c>
      <c r="F106" s="557">
        <v>1.2875389999999998</v>
      </c>
      <c r="G106" s="557">
        <v>0.97826700000000011</v>
      </c>
      <c r="H106" s="557">
        <v>1.2810059999999999</v>
      </c>
      <c r="I106" s="557">
        <v>1.620743</v>
      </c>
      <c r="J106" s="557">
        <v>2.1213889999999997</v>
      </c>
      <c r="K106" s="557">
        <v>0.676763</v>
      </c>
      <c r="L106" s="557">
        <v>0.88424199999999997</v>
      </c>
      <c r="M106" s="571" t="str">
        <f t="shared" si="4"/>
        <v>n/a</v>
      </c>
      <c r="N106" s="566">
        <f t="shared" si="5"/>
        <v>-4.5883638561381446E-2</v>
      </c>
    </row>
    <row r="107" spans="4:14" x14ac:dyDescent="0.3">
      <c r="D107" s="556">
        <v>429</v>
      </c>
      <c r="E107" s="557">
        <v>5.4168910000000006</v>
      </c>
      <c r="F107" s="557">
        <v>6.632142</v>
      </c>
      <c r="G107" s="557">
        <v>4.9958260000000001</v>
      </c>
      <c r="H107" s="557">
        <v>6.1176380000000021</v>
      </c>
      <c r="I107" s="557">
        <v>8.3357160000000015</v>
      </c>
      <c r="J107" s="557">
        <v>10.209726999999997</v>
      </c>
      <c r="K107" s="557">
        <v>9.7382570000000026</v>
      </c>
      <c r="L107" s="557">
        <v>12.064274000000001</v>
      </c>
      <c r="M107" s="571">
        <f t="shared" si="4"/>
        <v>7.6072150951563389E-2</v>
      </c>
      <c r="N107" s="566">
        <f t="shared" si="5"/>
        <v>7.76579125013519E-2</v>
      </c>
    </row>
    <row r="108" spans="4:14" x14ac:dyDescent="0.3">
      <c r="D108" s="556">
        <v>441</v>
      </c>
      <c r="E108" s="557">
        <v>4.0031780000000001</v>
      </c>
      <c r="F108" s="557">
        <v>6.5902719999999997</v>
      </c>
      <c r="G108" s="557">
        <v>0</v>
      </c>
      <c r="H108" s="557">
        <v>0</v>
      </c>
      <c r="I108" s="557">
        <v>0</v>
      </c>
      <c r="J108" s="557">
        <v>0</v>
      </c>
      <c r="K108" s="557">
        <v>0</v>
      </c>
      <c r="L108" s="557">
        <v>0</v>
      </c>
      <c r="M108" s="571">
        <f t="shared" si="4"/>
        <v>-1</v>
      </c>
      <c r="N108" s="566">
        <f t="shared" si="5"/>
        <v>-1</v>
      </c>
    </row>
    <row r="109" spans="4:14" x14ac:dyDescent="0.3">
      <c r="D109" s="556">
        <v>451</v>
      </c>
      <c r="E109" s="557">
        <v>2.3049879999999998</v>
      </c>
      <c r="F109" s="557">
        <v>1.6613250000000008</v>
      </c>
      <c r="G109" s="557">
        <v>1.0793820000000001</v>
      </c>
      <c r="H109" s="557">
        <v>0.7784390000000001</v>
      </c>
      <c r="I109" s="557">
        <v>0.87390999999999963</v>
      </c>
      <c r="J109" s="557">
        <v>0.63046199999999986</v>
      </c>
      <c r="K109" s="557">
        <v>11.185590000000005</v>
      </c>
      <c r="L109" s="557">
        <v>8.0501730000000009</v>
      </c>
      <c r="M109" s="571">
        <f t="shared" si="4"/>
        <v>0.2182846673922183</v>
      </c>
      <c r="N109" s="566">
        <f t="shared" si="5"/>
        <v>0.21806040681145999</v>
      </c>
    </row>
    <row r="110" spans="4:14" x14ac:dyDescent="0.3">
      <c r="D110" s="556">
        <v>452</v>
      </c>
      <c r="E110" s="557">
        <v>0.24455799999999997</v>
      </c>
      <c r="F110" s="557">
        <v>0.13854400000000003</v>
      </c>
      <c r="G110" s="557">
        <v>0.18822200000000003</v>
      </c>
      <c r="H110" s="557">
        <v>0.10626500000000001</v>
      </c>
      <c r="I110" s="557">
        <v>0.382268</v>
      </c>
      <c r="J110" s="557">
        <v>0.21567799999999998</v>
      </c>
      <c r="K110" s="557">
        <v>2.5185789999999999</v>
      </c>
      <c r="L110" s="557">
        <v>1.4257039999999999</v>
      </c>
      <c r="M110" s="571" t="str">
        <f t="shared" si="4"/>
        <v>n/a</v>
      </c>
      <c r="N110" s="566" t="str">
        <f t="shared" si="5"/>
        <v>n/a</v>
      </c>
    </row>
    <row r="111" spans="4:14" x14ac:dyDescent="0.3">
      <c r="D111" s="556">
        <v>459</v>
      </c>
      <c r="E111" s="557">
        <v>7.9900000000000001E-4</v>
      </c>
      <c r="F111" s="557">
        <v>5.1099999999999995E-4</v>
      </c>
      <c r="G111" s="557">
        <v>0</v>
      </c>
      <c r="H111" s="557">
        <v>0</v>
      </c>
      <c r="I111" s="557">
        <v>6.7599999999999995E-4</v>
      </c>
      <c r="J111" s="557">
        <v>4.3199999999999998E-4</v>
      </c>
      <c r="K111" s="557">
        <v>0</v>
      </c>
      <c r="L111" s="557">
        <v>0</v>
      </c>
      <c r="M111" s="571" t="str">
        <f t="shared" si="4"/>
        <v>n/a</v>
      </c>
      <c r="N111" s="566" t="str">
        <f t="shared" si="5"/>
        <v>n/a</v>
      </c>
    </row>
    <row r="112" spans="4:14" x14ac:dyDescent="0.3">
      <c r="D112" s="556">
        <v>460</v>
      </c>
      <c r="E112" s="557">
        <v>0</v>
      </c>
      <c r="F112" s="557">
        <v>0</v>
      </c>
      <c r="G112" s="557">
        <v>0</v>
      </c>
      <c r="H112" s="557">
        <v>0</v>
      </c>
      <c r="I112" s="557">
        <v>0</v>
      </c>
      <c r="J112" s="557">
        <v>0</v>
      </c>
      <c r="K112" s="557">
        <v>0</v>
      </c>
      <c r="L112" s="557">
        <v>0</v>
      </c>
      <c r="M112" s="571" t="str">
        <f t="shared" si="4"/>
        <v>n/a</v>
      </c>
      <c r="N112" s="566" t="str">
        <f t="shared" si="5"/>
        <v>n/a</v>
      </c>
    </row>
    <row r="113" spans="4:14" x14ac:dyDescent="0.3">
      <c r="D113" s="556">
        <v>471</v>
      </c>
      <c r="E113" s="557">
        <v>1.3165000000000001E-2</v>
      </c>
      <c r="F113" s="557">
        <v>5.9429999999999995E-3</v>
      </c>
      <c r="G113" s="557">
        <v>0</v>
      </c>
      <c r="H113" s="557">
        <v>0</v>
      </c>
      <c r="I113" s="557">
        <v>0</v>
      </c>
      <c r="J113" s="557">
        <v>0</v>
      </c>
      <c r="K113" s="557">
        <v>0</v>
      </c>
      <c r="L113" s="557">
        <v>0</v>
      </c>
      <c r="M113" s="571" t="str">
        <f t="shared" si="4"/>
        <v>n/a</v>
      </c>
      <c r="N113" s="566" t="str">
        <f t="shared" si="5"/>
        <v>n/a</v>
      </c>
    </row>
    <row r="114" spans="4:14" x14ac:dyDescent="0.3">
      <c r="D114" s="556">
        <v>472</v>
      </c>
      <c r="E114" s="557">
        <v>2.4582E-2</v>
      </c>
      <c r="F114" s="557">
        <v>1.2414E-2</v>
      </c>
      <c r="G114" s="557">
        <v>0</v>
      </c>
      <c r="H114" s="557">
        <v>0</v>
      </c>
      <c r="I114" s="557">
        <v>0</v>
      </c>
      <c r="J114" s="557">
        <v>0</v>
      </c>
      <c r="K114" s="557">
        <v>0</v>
      </c>
      <c r="L114" s="557">
        <v>0</v>
      </c>
      <c r="M114" s="571" t="str">
        <f t="shared" si="4"/>
        <v>n/a</v>
      </c>
      <c r="N114" s="566" t="str">
        <f t="shared" si="5"/>
        <v>n/a</v>
      </c>
    </row>
    <row r="115" spans="4:14" x14ac:dyDescent="0.3">
      <c r="D115" s="556">
        <v>473</v>
      </c>
      <c r="E115" s="557">
        <v>10.090097999999998</v>
      </c>
      <c r="F115" s="557">
        <v>5.5017000000000005</v>
      </c>
      <c r="G115" s="557">
        <v>4.8168220000000019</v>
      </c>
      <c r="H115" s="557">
        <v>2.6310009999999999</v>
      </c>
      <c r="I115" s="557">
        <v>5.2927440000000008</v>
      </c>
      <c r="J115" s="557">
        <v>2.8835389999999994</v>
      </c>
      <c r="K115" s="557">
        <v>8.0387760000000004</v>
      </c>
      <c r="L115" s="557">
        <v>4.3803300000000007</v>
      </c>
      <c r="M115" s="571">
        <f t="shared" ref="M115:M136" si="6">IFERROR(IF(OR(E115&lt;1,E115=0),"n/a",((K115/E115)^(1/(2030-2022)))-1),"n/a")</f>
        <v>-2.8009952978276242E-2</v>
      </c>
      <c r="N115" s="566">
        <f t="shared" ref="N115:N136" si="7">IFERROR(IF(OR(F115&lt;1,F115=0),"n/a",((L115/F115)^(1/(2030-2022)))-1),"n/a")</f>
        <v>-2.8089574809055495E-2</v>
      </c>
    </row>
    <row r="116" spans="4:14" x14ac:dyDescent="0.3">
      <c r="D116" s="556">
        <v>479</v>
      </c>
      <c r="E116" s="557">
        <v>3.2009999999999997E-2</v>
      </c>
      <c r="F116" s="557">
        <v>1.7276E-2</v>
      </c>
      <c r="G116" s="557">
        <v>5.2099999999999998E-4</v>
      </c>
      <c r="H116" s="557">
        <v>2.81E-4</v>
      </c>
      <c r="I116" s="557">
        <v>0</v>
      </c>
      <c r="J116" s="557">
        <v>0</v>
      </c>
      <c r="K116" s="557">
        <v>0</v>
      </c>
      <c r="L116" s="557">
        <v>0</v>
      </c>
      <c r="M116" s="571" t="str">
        <f t="shared" si="6"/>
        <v>n/a</v>
      </c>
      <c r="N116" s="566" t="str">
        <f t="shared" si="7"/>
        <v>n/a</v>
      </c>
    </row>
    <row r="117" spans="4:14" x14ac:dyDescent="0.3">
      <c r="D117" s="556">
        <v>481</v>
      </c>
      <c r="E117" s="557">
        <v>43.08954199999998</v>
      </c>
      <c r="F117" s="557">
        <v>29.472731000000003</v>
      </c>
      <c r="G117" s="557">
        <v>32.266762</v>
      </c>
      <c r="H117" s="557">
        <v>22.101565000000001</v>
      </c>
      <c r="I117" s="557">
        <v>23.275838000000004</v>
      </c>
      <c r="J117" s="557">
        <v>15.956207999999997</v>
      </c>
      <c r="K117" s="557">
        <v>0.79301100000000013</v>
      </c>
      <c r="L117" s="557">
        <v>0.55448599999999992</v>
      </c>
      <c r="M117" s="571">
        <f t="shared" si="6"/>
        <v>-0.39310519956323653</v>
      </c>
      <c r="N117" s="566">
        <f t="shared" si="7"/>
        <v>-0.39143247184603025</v>
      </c>
    </row>
    <row r="118" spans="4:14" x14ac:dyDescent="0.3">
      <c r="D118" s="556">
        <v>483</v>
      </c>
      <c r="E118" s="557">
        <v>0.15010200000000001</v>
      </c>
      <c r="F118" s="557">
        <v>0.113133</v>
      </c>
      <c r="G118" s="557">
        <v>8.0962000000000006E-2</v>
      </c>
      <c r="H118" s="557">
        <v>6.1031000000000002E-2</v>
      </c>
      <c r="I118" s="557">
        <v>1.6132000000000001E-2</v>
      </c>
      <c r="J118" s="557">
        <v>1.2165E-2</v>
      </c>
      <c r="K118" s="557">
        <v>0</v>
      </c>
      <c r="L118" s="557">
        <v>0</v>
      </c>
      <c r="M118" s="571" t="str">
        <f t="shared" si="6"/>
        <v>n/a</v>
      </c>
      <c r="N118" s="566" t="str">
        <f t="shared" si="7"/>
        <v>n/a</v>
      </c>
    </row>
    <row r="119" spans="4:14" x14ac:dyDescent="0.3">
      <c r="D119" s="556">
        <v>484</v>
      </c>
      <c r="E119" s="557">
        <v>156.72723800000003</v>
      </c>
      <c r="F119" s="557">
        <v>103.76596800000003</v>
      </c>
      <c r="G119" s="557">
        <v>117.85495600000002</v>
      </c>
      <c r="H119" s="557">
        <v>77.889044999999996</v>
      </c>
      <c r="I119" s="557">
        <v>85.663194999999973</v>
      </c>
      <c r="J119" s="557">
        <v>56.584931999999995</v>
      </c>
      <c r="K119" s="557">
        <v>3.0250620000000015</v>
      </c>
      <c r="L119" s="557">
        <v>1.9666379999999999</v>
      </c>
      <c r="M119" s="571">
        <f t="shared" si="6"/>
        <v>-0.38948164551900266</v>
      </c>
      <c r="N119" s="566">
        <f t="shared" si="7"/>
        <v>-0.39087182852821745</v>
      </c>
    </row>
    <row r="120" spans="4:14" x14ac:dyDescent="0.3">
      <c r="D120" s="556">
        <v>485</v>
      </c>
      <c r="E120" s="557">
        <v>17.123463999999998</v>
      </c>
      <c r="F120" s="557">
        <v>22.037555999999999</v>
      </c>
      <c r="G120" s="557">
        <v>12.82827</v>
      </c>
      <c r="H120" s="557">
        <v>16.541884000000003</v>
      </c>
      <c r="I120" s="557">
        <v>9.2591629999999991</v>
      </c>
      <c r="J120" s="557">
        <v>11.950829999999998</v>
      </c>
      <c r="K120" s="557">
        <v>0.12903000000000001</v>
      </c>
      <c r="L120" s="557">
        <v>0.16942699999999999</v>
      </c>
      <c r="M120" s="571">
        <f t="shared" si="6"/>
        <v>-0.45720306830687307</v>
      </c>
      <c r="N120" s="566">
        <f t="shared" si="7"/>
        <v>-0.4558390171410035</v>
      </c>
    </row>
    <row r="121" spans="4:14" x14ac:dyDescent="0.3">
      <c r="D121" s="556">
        <v>487</v>
      </c>
      <c r="E121" s="557">
        <v>5.564019</v>
      </c>
      <c r="F121" s="557">
        <v>4.815658</v>
      </c>
      <c r="G121" s="557">
        <v>4.166453999999999</v>
      </c>
      <c r="H121" s="557">
        <v>3.6060649999999987</v>
      </c>
      <c r="I121" s="557">
        <v>3.0082700000000004</v>
      </c>
      <c r="J121" s="557">
        <v>2.6036589999999991</v>
      </c>
      <c r="K121" s="557">
        <v>3.8845999999999992E-2</v>
      </c>
      <c r="L121" s="557">
        <v>3.3621000000000005E-2</v>
      </c>
      <c r="M121" s="571">
        <f t="shared" si="6"/>
        <v>-0.46235611245919372</v>
      </c>
      <c r="N121" s="566">
        <f t="shared" si="7"/>
        <v>-0.46235653202308069</v>
      </c>
    </row>
    <row r="122" spans="4:14" x14ac:dyDescent="0.3">
      <c r="D122" s="556">
        <v>488</v>
      </c>
      <c r="E122" s="557">
        <v>50.354708000000009</v>
      </c>
      <c r="F122" s="557">
        <v>36.682788999999993</v>
      </c>
      <c r="G122" s="557">
        <v>37.706590000000006</v>
      </c>
      <c r="H122" s="557">
        <v>27.43628</v>
      </c>
      <c r="I122" s="557">
        <v>27.199896000000003</v>
      </c>
      <c r="J122" s="557">
        <v>19.779430999999995</v>
      </c>
      <c r="K122" s="557">
        <v>0.65864</v>
      </c>
      <c r="L122" s="557">
        <v>0.47229800000000005</v>
      </c>
      <c r="M122" s="571">
        <f t="shared" si="6"/>
        <v>-0.41846480655938945</v>
      </c>
      <c r="N122" s="566">
        <f t="shared" si="7"/>
        <v>-0.4196109370556439</v>
      </c>
    </row>
    <row r="123" spans="4:14" x14ac:dyDescent="0.3">
      <c r="D123" s="556">
        <v>489</v>
      </c>
      <c r="E123" s="557">
        <v>1.9114010000000001</v>
      </c>
      <c r="F123" s="557">
        <v>1.3043029999999998</v>
      </c>
      <c r="G123" s="557">
        <v>4.3890489999999982</v>
      </c>
      <c r="H123" s="557">
        <v>3.234254</v>
      </c>
      <c r="I123" s="557">
        <v>4.2272029999999985</v>
      </c>
      <c r="J123" s="557">
        <v>3.2069779999999999</v>
      </c>
      <c r="K123" s="557">
        <v>1.136298</v>
      </c>
      <c r="L123" s="557">
        <v>0.72809600000000019</v>
      </c>
      <c r="M123" s="571">
        <f t="shared" si="6"/>
        <v>-6.2939666646315007E-2</v>
      </c>
      <c r="N123" s="566">
        <f t="shared" si="7"/>
        <v>-7.0281936411353274E-2</v>
      </c>
    </row>
    <row r="124" spans="4:14" x14ac:dyDescent="0.3">
      <c r="D124" s="556">
        <v>499</v>
      </c>
      <c r="E124" s="557">
        <v>1.7949999999999999E-3</v>
      </c>
      <c r="F124" s="557">
        <v>3.7859999999999999E-3</v>
      </c>
      <c r="G124" s="557">
        <v>0</v>
      </c>
      <c r="H124" s="557">
        <v>0</v>
      </c>
      <c r="I124" s="557">
        <v>0</v>
      </c>
      <c r="J124" s="557">
        <v>0</v>
      </c>
      <c r="K124" s="557">
        <v>0</v>
      </c>
      <c r="L124" s="557">
        <v>0</v>
      </c>
      <c r="M124" s="571" t="str">
        <f t="shared" si="6"/>
        <v>n/a</v>
      </c>
      <c r="N124" s="566" t="str">
        <f t="shared" si="7"/>
        <v>n/a</v>
      </c>
    </row>
    <row r="125" spans="4:14" x14ac:dyDescent="0.3">
      <c r="D125" s="556">
        <v>500</v>
      </c>
      <c r="E125" s="557">
        <v>0</v>
      </c>
      <c r="F125" s="557">
        <v>0</v>
      </c>
      <c r="G125" s="557">
        <v>0</v>
      </c>
      <c r="H125" s="557">
        <v>0</v>
      </c>
      <c r="I125" s="557">
        <v>0</v>
      </c>
      <c r="J125" s="557">
        <v>0</v>
      </c>
      <c r="K125" s="557">
        <v>4.2796200000000004</v>
      </c>
      <c r="L125" s="557">
        <v>7.0667980000000004</v>
      </c>
      <c r="M125" s="571" t="str">
        <f t="shared" si="6"/>
        <v>n/a</v>
      </c>
      <c r="N125" s="566" t="str">
        <f t="shared" si="7"/>
        <v>n/a</v>
      </c>
    </row>
    <row r="126" spans="4:14" x14ac:dyDescent="0.3">
      <c r="D126" s="556">
        <v>511</v>
      </c>
      <c r="E126" s="557">
        <v>16.226555999999999</v>
      </c>
      <c r="F126" s="557">
        <v>15.488437000000001</v>
      </c>
      <c r="G126" s="557">
        <v>12.586579999999996</v>
      </c>
      <c r="H126" s="557">
        <v>12.013938999999999</v>
      </c>
      <c r="I126" s="557">
        <v>9.9962530000000029</v>
      </c>
      <c r="J126" s="557">
        <v>9.5393299999999961</v>
      </c>
      <c r="K126" s="557">
        <v>2.3970560000000005</v>
      </c>
      <c r="L126" s="557">
        <v>2.2780430000000003</v>
      </c>
      <c r="M126" s="571">
        <f t="shared" si="6"/>
        <v>-0.21262525917845931</v>
      </c>
      <c r="N126" s="566">
        <f t="shared" si="7"/>
        <v>-0.21305516282741144</v>
      </c>
    </row>
    <row r="127" spans="4:14" x14ac:dyDescent="0.3">
      <c r="D127" s="556">
        <v>512</v>
      </c>
      <c r="E127" s="557">
        <v>2.5999999999999998E-4</v>
      </c>
      <c r="F127" s="557">
        <v>2.5300000000000002E-4</v>
      </c>
      <c r="G127" s="557">
        <v>3.77E-4</v>
      </c>
      <c r="H127" s="557">
        <v>3.6699999999999998E-4</v>
      </c>
      <c r="I127" s="557">
        <v>2.7E-4</v>
      </c>
      <c r="J127" s="557">
        <v>2.63E-4</v>
      </c>
      <c r="K127" s="557">
        <v>0</v>
      </c>
      <c r="L127" s="557">
        <v>0</v>
      </c>
      <c r="M127" s="571" t="str">
        <f t="shared" si="6"/>
        <v>n/a</v>
      </c>
      <c r="N127" s="566" t="str">
        <f t="shared" si="7"/>
        <v>n/a</v>
      </c>
    </row>
    <row r="128" spans="4:14" x14ac:dyDescent="0.3">
      <c r="D128" s="556">
        <v>513</v>
      </c>
      <c r="E128" s="557">
        <v>37.513758000000003</v>
      </c>
      <c r="F128" s="557">
        <v>39.063131999999996</v>
      </c>
      <c r="G128" s="557">
        <v>29.116001000000008</v>
      </c>
      <c r="H128" s="557">
        <v>30.340774000000007</v>
      </c>
      <c r="I128" s="557">
        <v>23.106990000000007</v>
      </c>
      <c r="J128" s="557">
        <v>24.067492000000005</v>
      </c>
      <c r="K128" s="557">
        <v>7.7260780000000002</v>
      </c>
      <c r="L128" s="557">
        <v>7.9871919999999985</v>
      </c>
      <c r="M128" s="571">
        <f t="shared" si="6"/>
        <v>-0.17923077421035027</v>
      </c>
      <c r="N128" s="566">
        <f t="shared" si="7"/>
        <v>-0.17997256419271923</v>
      </c>
    </row>
    <row r="129" spans="4:14" x14ac:dyDescent="0.3">
      <c r="D129" s="556">
        <v>519</v>
      </c>
      <c r="E129" s="557">
        <v>3.8400000000000001E-4</v>
      </c>
      <c r="F129" s="557">
        <v>3.4499999999999998E-4</v>
      </c>
      <c r="G129" s="557">
        <v>5.5800000000000001E-4</v>
      </c>
      <c r="H129" s="557">
        <v>5.0000000000000001E-4</v>
      </c>
      <c r="I129" s="557">
        <v>3.9899999999999999E-4</v>
      </c>
      <c r="J129" s="557">
        <v>3.5799999999999997E-4</v>
      </c>
      <c r="K129" s="557">
        <v>0</v>
      </c>
      <c r="L129" s="557">
        <v>0</v>
      </c>
      <c r="M129" s="571" t="str">
        <f t="shared" si="6"/>
        <v>n/a</v>
      </c>
      <c r="N129" s="566" t="str">
        <f t="shared" si="7"/>
        <v>n/a</v>
      </c>
    </row>
    <row r="130" spans="4:14" x14ac:dyDescent="0.3">
      <c r="D130" s="556">
        <v>531</v>
      </c>
      <c r="E130" s="557">
        <v>2.0070000000000001E-2</v>
      </c>
      <c r="F130" s="557">
        <v>5.8338999999999995E-2</v>
      </c>
      <c r="G130" s="557">
        <v>2.8101000000000001E-2</v>
      </c>
      <c r="H130" s="557">
        <v>8.1770999999999996E-2</v>
      </c>
      <c r="I130" s="557">
        <v>0.12553899999999998</v>
      </c>
      <c r="J130" s="557">
        <v>0.36685000000000001</v>
      </c>
      <c r="K130" s="557">
        <v>0.18465199999999998</v>
      </c>
      <c r="L130" s="557">
        <v>0.53834699999999991</v>
      </c>
      <c r="M130" s="571" t="str">
        <f t="shared" si="6"/>
        <v>n/a</v>
      </c>
      <c r="N130" s="566" t="str">
        <f t="shared" si="7"/>
        <v>n/a</v>
      </c>
    </row>
    <row r="131" spans="4:14" x14ac:dyDescent="0.3">
      <c r="D131" s="556">
        <v>532</v>
      </c>
      <c r="E131" s="557">
        <v>2.6523999999999999E-2</v>
      </c>
      <c r="F131" s="557">
        <v>7.6551000000000008E-2</v>
      </c>
      <c r="G131" s="557">
        <v>4.2373999999999995E-2</v>
      </c>
      <c r="H131" s="557">
        <v>0.12239599999999999</v>
      </c>
      <c r="I131" s="557">
        <v>7.0346000000000006E-2</v>
      </c>
      <c r="J131" s="557">
        <v>0.20366700000000001</v>
      </c>
      <c r="K131" s="557">
        <v>1.5078000000000001E-2</v>
      </c>
      <c r="L131" s="557">
        <v>4.3674999999999999E-2</v>
      </c>
      <c r="M131" s="571" t="str">
        <f t="shared" si="6"/>
        <v>n/a</v>
      </c>
      <c r="N131" s="566" t="str">
        <f t="shared" si="7"/>
        <v>n/a</v>
      </c>
    </row>
    <row r="132" spans="4:14" x14ac:dyDescent="0.3">
      <c r="D132" s="556">
        <v>539</v>
      </c>
      <c r="E132" s="557">
        <v>6.7689999999999998E-3</v>
      </c>
      <c r="F132" s="557">
        <v>1.7847000000000002E-2</v>
      </c>
      <c r="G132" s="557">
        <v>1.0071E-2</v>
      </c>
      <c r="H132" s="557">
        <v>2.6823E-2</v>
      </c>
      <c r="I132" s="557">
        <v>9.3670000000000003E-3</v>
      </c>
      <c r="J132" s="557">
        <v>2.5127999999999998E-2</v>
      </c>
      <c r="K132" s="557">
        <v>1.3709000000000001E-2</v>
      </c>
      <c r="L132" s="557">
        <v>3.6200999999999997E-2</v>
      </c>
      <c r="M132" s="571" t="str">
        <f t="shared" si="6"/>
        <v>n/a</v>
      </c>
      <c r="N132" s="566" t="str">
        <f t="shared" si="7"/>
        <v>n/a</v>
      </c>
    </row>
    <row r="133" spans="4:14" x14ac:dyDescent="0.3">
      <c r="D133" s="556">
        <v>540</v>
      </c>
      <c r="E133" s="557">
        <v>0</v>
      </c>
      <c r="F133" s="557">
        <v>0</v>
      </c>
      <c r="G133" s="557">
        <v>4.002E-2</v>
      </c>
      <c r="H133" s="557">
        <v>4.3818999999999997E-2</v>
      </c>
      <c r="I133" s="557">
        <v>1.3219000000000002E-2</v>
      </c>
      <c r="J133" s="557">
        <v>1.4474000000000001E-2</v>
      </c>
      <c r="K133" s="557">
        <v>0</v>
      </c>
      <c r="L133" s="557">
        <v>0</v>
      </c>
      <c r="M133" s="571" t="str">
        <f t="shared" si="6"/>
        <v>n/a</v>
      </c>
      <c r="N133" s="566" t="str">
        <f t="shared" si="7"/>
        <v>n/a</v>
      </c>
    </row>
    <row r="134" spans="4:14" x14ac:dyDescent="0.3">
      <c r="D134" s="556">
        <v>551</v>
      </c>
      <c r="E134" s="557">
        <v>1.0638360000000002</v>
      </c>
      <c r="F134" s="557">
        <v>1.0878080000000001</v>
      </c>
      <c r="G134" s="557">
        <v>1.9813189999999998</v>
      </c>
      <c r="H134" s="557">
        <v>2.0260080000000005</v>
      </c>
      <c r="I134" s="557">
        <v>1.5585759999999997</v>
      </c>
      <c r="J134" s="557">
        <v>1.5937319999999999</v>
      </c>
      <c r="K134" s="557">
        <v>1.7727E-2</v>
      </c>
      <c r="L134" s="557">
        <v>1.8057E-2</v>
      </c>
      <c r="M134" s="571">
        <f t="shared" si="6"/>
        <v>-0.40059540174931829</v>
      </c>
      <c r="N134" s="566">
        <f t="shared" si="7"/>
        <v>-0.40088296441543037</v>
      </c>
    </row>
    <row r="135" spans="4:14" x14ac:dyDescent="0.3">
      <c r="D135" s="556">
        <v>559</v>
      </c>
      <c r="E135" s="557">
        <v>1.9474759999999998</v>
      </c>
      <c r="F135" s="557">
        <v>2.3205450000000001</v>
      </c>
      <c r="G135" s="557">
        <v>3.627033</v>
      </c>
      <c r="H135" s="557">
        <v>4.3228660000000003</v>
      </c>
      <c r="I135" s="557">
        <v>2.853262</v>
      </c>
      <c r="J135" s="557">
        <v>3.4008659999999997</v>
      </c>
      <c r="K135" s="557">
        <v>2.6151000000000001E-2</v>
      </c>
      <c r="L135" s="557">
        <v>3.0464999999999999E-2</v>
      </c>
      <c r="M135" s="571">
        <f t="shared" si="6"/>
        <v>-0.41655217755091434</v>
      </c>
      <c r="N135" s="566">
        <f t="shared" si="7"/>
        <v>-0.41819640765003108</v>
      </c>
    </row>
    <row r="136" spans="4:14" ht="13.5" thickBot="1" x14ac:dyDescent="0.35">
      <c r="D136" s="556">
        <v>560</v>
      </c>
      <c r="E136" s="557">
        <v>0</v>
      </c>
      <c r="F136" s="557">
        <v>0</v>
      </c>
      <c r="G136" s="557">
        <v>0</v>
      </c>
      <c r="H136" s="557">
        <v>0</v>
      </c>
      <c r="I136" s="557">
        <v>0</v>
      </c>
      <c r="J136" s="557">
        <v>0</v>
      </c>
      <c r="K136" s="557">
        <v>0</v>
      </c>
      <c r="L136" s="557">
        <v>0</v>
      </c>
      <c r="M136" s="572" t="str">
        <f t="shared" si="6"/>
        <v>n/a</v>
      </c>
      <c r="N136" s="567" t="str">
        <f t="shared" si="7"/>
        <v>n/a</v>
      </c>
    </row>
    <row r="137" spans="4:14" x14ac:dyDescent="0.3">
      <c r="M137" s="527" t="s">
        <v>363</v>
      </c>
      <c r="N137" s="527" t="s">
        <v>363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DA938-6C00-473F-B5E1-61E02C3A0920}">
  <sheetPr codeName="Sheet3">
    <tabColor theme="7"/>
  </sheetPr>
  <dimension ref="A1:C23"/>
  <sheetViews>
    <sheetView topLeftCell="A6" workbookViewId="0">
      <selection activeCell="E36" sqref="E36"/>
    </sheetView>
  </sheetViews>
  <sheetFormatPr defaultRowHeight="14.5" x14ac:dyDescent="0.35"/>
  <cols>
    <col min="2" max="2" width="24.81640625" bestFit="1" customWidth="1"/>
  </cols>
  <sheetData>
    <row r="1" spans="1:3" ht="18.5" x14ac:dyDescent="0.45">
      <c r="A1" s="658" t="s">
        <v>7</v>
      </c>
    </row>
    <row r="2" spans="1:3" x14ac:dyDescent="0.35">
      <c r="A2" s="155">
        <v>1</v>
      </c>
      <c r="B2" s="510" t="s">
        <v>3</v>
      </c>
    </row>
    <row r="3" spans="1:3" x14ac:dyDescent="0.35">
      <c r="A3" s="157">
        <v>2</v>
      </c>
      <c r="B3" s="510" t="s">
        <v>8</v>
      </c>
    </row>
    <row r="4" spans="1:3" x14ac:dyDescent="0.35">
      <c r="A4" s="156">
        <v>3</v>
      </c>
      <c r="B4" s="510" t="s">
        <v>9</v>
      </c>
    </row>
    <row r="5" spans="1:3" x14ac:dyDescent="0.35">
      <c r="A5" s="300">
        <v>4</v>
      </c>
      <c r="B5" s="510" t="s">
        <v>10</v>
      </c>
      <c r="C5" t="s">
        <v>11</v>
      </c>
    </row>
    <row r="6" spans="1:3" x14ac:dyDescent="0.35">
      <c r="A6" s="157">
        <v>5</v>
      </c>
      <c r="B6" s="510" t="s">
        <v>12</v>
      </c>
    </row>
    <row r="7" spans="1:3" x14ac:dyDescent="0.35">
      <c r="A7" s="157">
        <v>6</v>
      </c>
      <c r="B7" s="510" t="s">
        <v>13</v>
      </c>
    </row>
    <row r="8" spans="1:3" x14ac:dyDescent="0.35">
      <c r="A8" s="158">
        <v>7</v>
      </c>
      <c r="B8" s="510" t="s">
        <v>14</v>
      </c>
    </row>
    <row r="9" spans="1:3" x14ac:dyDescent="0.35">
      <c r="A9" s="655">
        <v>8</v>
      </c>
      <c r="B9" s="510" t="s">
        <v>15</v>
      </c>
    </row>
    <row r="10" spans="1:3" x14ac:dyDescent="0.35">
      <c r="A10" s="159">
        <v>9</v>
      </c>
      <c r="B10" s="510" t="s">
        <v>16</v>
      </c>
    </row>
    <row r="11" spans="1:3" x14ac:dyDescent="0.35">
      <c r="A11" s="160">
        <v>10</v>
      </c>
      <c r="B11" s="510" t="s">
        <v>17</v>
      </c>
    </row>
    <row r="12" spans="1:3" x14ac:dyDescent="0.35">
      <c r="A12" s="160">
        <v>11</v>
      </c>
      <c r="B12" s="510" t="s">
        <v>18</v>
      </c>
    </row>
    <row r="13" spans="1:3" x14ac:dyDescent="0.35">
      <c r="A13" s="160">
        <v>12</v>
      </c>
      <c r="B13" s="510" t="s">
        <v>19</v>
      </c>
    </row>
    <row r="14" spans="1:3" x14ac:dyDescent="0.35">
      <c r="A14" s="160">
        <v>13</v>
      </c>
      <c r="B14" s="510" t="s">
        <v>20</v>
      </c>
    </row>
    <row r="15" spans="1:3" x14ac:dyDescent="0.35">
      <c r="A15" s="160">
        <v>14</v>
      </c>
      <c r="B15" s="510" t="s">
        <v>21</v>
      </c>
    </row>
    <row r="16" spans="1:3" x14ac:dyDescent="0.35">
      <c r="A16" s="160">
        <v>15</v>
      </c>
      <c r="B16" s="510" t="s">
        <v>22</v>
      </c>
    </row>
    <row r="17" spans="1:3" x14ac:dyDescent="0.35">
      <c r="A17" s="157">
        <v>16</v>
      </c>
      <c r="B17" s="510" t="s">
        <v>23</v>
      </c>
      <c r="C17" t="s">
        <v>24</v>
      </c>
    </row>
    <row r="18" spans="1:3" x14ac:dyDescent="0.35">
      <c r="A18" s="300">
        <v>17</v>
      </c>
      <c r="B18" s="510" t="s">
        <v>25</v>
      </c>
      <c r="C18" t="s">
        <v>26</v>
      </c>
    </row>
    <row r="19" spans="1:3" x14ac:dyDescent="0.35">
      <c r="A19" s="158">
        <v>18</v>
      </c>
      <c r="B19" s="510" t="s">
        <v>27</v>
      </c>
      <c r="C19" t="s">
        <v>27</v>
      </c>
    </row>
    <row r="20" spans="1:3" x14ac:dyDescent="0.35">
      <c r="A20" s="158">
        <v>19</v>
      </c>
      <c r="B20" s="510" t="s">
        <v>28</v>
      </c>
      <c r="C20" t="s">
        <v>28</v>
      </c>
    </row>
    <row r="21" spans="1:3" x14ac:dyDescent="0.35">
      <c r="A21" s="656">
        <v>20</v>
      </c>
      <c r="B21" s="510" t="s">
        <v>29</v>
      </c>
      <c r="C21" t="s">
        <v>30</v>
      </c>
    </row>
    <row r="22" spans="1:3" x14ac:dyDescent="0.35">
      <c r="A22" s="657">
        <v>21</v>
      </c>
      <c r="B22" s="510" t="s">
        <v>31</v>
      </c>
      <c r="C22" t="s">
        <v>32</v>
      </c>
    </row>
    <row r="23" spans="1:3" x14ac:dyDescent="0.35">
      <c r="A23" s="155">
        <v>22</v>
      </c>
      <c r="B23" s="510" t="s">
        <v>33</v>
      </c>
      <c r="C23" t="s">
        <v>34</v>
      </c>
    </row>
  </sheetData>
  <hyperlinks>
    <hyperlink ref="B2" location="'Disclaimer'!A1 " tooltip="Go To Disclaimer worksheet." display="'Disclaimer'!A1 " xr:uid="{0563D78C-2FB3-4BE9-AB84-831393145742}"/>
    <hyperlink ref="B3" location="'BCA'!A1 " tooltip="Go To BCA worksheet." display="'BCA'!A1 " xr:uid="{0596D93E-521B-4EB7-B871-2BB10B30757F}"/>
    <hyperlink ref="B4" location="'Assumptions &amp; Inputs'!A1 " tooltip="Go To Assumptions &amp; Inputs worksheet." display="'Assumptions &amp; Inputs'!A1 " xr:uid="{7A6B4674-5E02-418E-9B5F-0E97A77DF95B}"/>
    <hyperlink ref="B5" location="'Project Schedule'!A1 " tooltip="Go To Project Schedule worksheet." display="'Project Schedule'!A1 " xr:uid="{3FDD3BC2-9609-4431-A3D4-1B0F30E6661D}"/>
    <hyperlink ref="B6" location="'Costs'!A1 " tooltip="Go To Costs worksheet." display="'Costs'!A1 " xr:uid="{189EE78F-5BDB-405A-9817-411C13715345}"/>
    <hyperlink ref="B7" location="'Summary'!A1 " tooltip="Go To Summary worksheet." display="'Summary'!A1 " xr:uid="{A7345396-BCB5-48D2-82CE-6B86022B0B9F}"/>
    <hyperlink ref="B8" location="'Sensitivity Analysis'!A1 " tooltip="Go To Sensitivity Analysis worksheet." display="'Sensitivity Analysis'!A1 " xr:uid="{CDF155C7-1DF7-4596-B392-0C29A843023E}"/>
    <hyperlink ref="B9" location="'Miles Analysis'!A1 " tooltip="Go To Miles Analysis worksheet." display="'Miles Analysis'!A1 " xr:uid="{BA8C149F-815F-4C28-A8E1-220BD83B8791}"/>
    <hyperlink ref="B10" location="'Traffic Calcs'!A1 " tooltip="Go To Traffic Calcs worksheet." display="'Traffic Calcs'!A1 " xr:uid="{CDDFC6CB-0877-4353-8C8A-E20F6C9E48E8}"/>
    <hyperlink ref="B11" location="'Mobility Benefits'!A1 " tooltip="Go To Mobility Benefits worksheet." display="'Mobility Benefits'!A1 " xr:uid="{99DB0ED4-F8E1-45D4-AA6D-7FD23602B6E5}"/>
    <hyperlink ref="B12" location="'Safety'!A1 " tooltip="Go To Safety worksheet." display="'Safety'!A1 " xr:uid="{DA307179-0386-43E2-867D-984A0F6E4EDF}"/>
    <hyperlink ref="B13" location="'Env &amp; Comm Benefits'!A1 " tooltip="Go To Env &amp; Comm Benefits worksheet." display="'Env &amp; Comm Benefits'!A1 " xr:uid="{46D39944-1C26-4352-B925-9233A8BF35D2}"/>
    <hyperlink ref="B14" location="'Hwy Pavement Benefits'!A1 " tooltip="Go To Hwy Pavement Benefits worksheet." display="'Hwy Pavement Benefits'!A1 " xr:uid="{98F0BCBA-6552-4D4E-B49A-851F0B77DD02}"/>
    <hyperlink ref="B15" location="'O&amp;M Savings Benefits'!A1 " tooltip="Go To O&amp;M Savings Benefits worksheet." display="'O&amp;M Savings Benefits'!A1 " xr:uid="{59DEC5C9-D826-4E2F-B554-5DD1DAB1F937}"/>
    <hyperlink ref="B16" location="'Residual Value Benefits '!A1 " tooltip="Go To Residual Value Benefits  worksheet." display="'Residual Value Benefits '!A1 " xr:uid="{407E9407-2B47-47C4-853A-0E82A0DD2270}"/>
    <hyperlink ref="B17" location="'West Yard Cost'!A1 " tooltip="Go To West Yard Cost worksheet." display="'West Yard Cost'!A1 " xr:uid="{0410BADE-A4A7-475B-BF33-573A5BF9F513}"/>
    <hyperlink ref="B18" location="'East Yard Cost'!A1 " tooltip="Go To East Yard Cost worksheet." display="'East Yard Cost'!A1 " xr:uid="{D07097A4-E10D-45F4-A50E-FA04448A2B35}"/>
    <hyperlink ref="B19" location="'Truck FAF Data'!A1 " tooltip="Go To Truck FAF Data worksheet." display="'Truck FAF Data'!A1 " xr:uid="{E4C985AF-E8CF-452B-8AC5-3E7BE104DBC5}"/>
    <hyperlink ref="B20" location="'Rail FAF Data'!A1 " tooltip="Go To Rail FAF Data worksheet." display="'Rail FAF Data'!A1 " xr:uid="{2F34D9F1-A882-4995-AC64-4AF6E339A1F9}"/>
    <hyperlink ref="B21" location="'MOVES'!A1 " tooltip="Go To MOVES worksheet." display="'MOVES'!A1 " xr:uid="{5260CC6A-34B7-474C-BFE5-D1F23B3ACC17}"/>
    <hyperlink ref="B22" location="'Inflation'!A1 " tooltip="Go To Inflation worksheet." display="'Inflation'!A1 " xr:uid="{3A369CF2-D9D6-4966-8C83-C853294F71D8}"/>
    <hyperlink ref="B23" location="'USDOTBCA_GuidanceFY2026'!A1 " tooltip="Go To USDOTBCA_GuidanceFY2026 worksheet." display="'USDOTBCA_GuidanceFY2026'!A1 " xr:uid="{9010A878-0264-43E6-A5C6-78B6BA47285F}"/>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5211F-022C-468C-9E52-92D9799EFD53}">
  <sheetPr codeName="Sheet20">
    <tabColor theme="2" tint="-0.249977111117893"/>
  </sheetPr>
  <dimension ref="A1:T174"/>
  <sheetViews>
    <sheetView topLeftCell="A19" workbookViewId="0"/>
  </sheetViews>
  <sheetFormatPr defaultColWidth="8.54296875" defaultRowHeight="14.5" outlineLevelRow="1" x14ac:dyDescent="0.35"/>
  <cols>
    <col min="1" max="1" width="7.453125" style="595" customWidth="1"/>
    <col min="2" max="2" width="16.453125" style="595" customWidth="1"/>
    <col min="3" max="9" width="12.54296875" style="595" customWidth="1"/>
    <col min="10" max="10" width="11.453125" style="595" customWidth="1"/>
    <col min="11" max="11" width="8.54296875" style="595"/>
    <col min="12" max="12" width="16.54296875" style="595" bestFit="1" customWidth="1"/>
    <col min="13" max="13" width="12.54296875" style="595" customWidth="1"/>
    <col min="14" max="14" width="12.81640625" style="595" customWidth="1"/>
    <col min="15" max="15" width="13" style="595" customWidth="1"/>
    <col min="16" max="16" width="12.54296875" style="595" customWidth="1"/>
    <col min="17" max="17" width="12.81640625" style="595" customWidth="1"/>
    <col min="18" max="19" width="13" style="595" customWidth="1"/>
    <col min="20" max="16384" width="8.54296875" style="595"/>
  </cols>
  <sheetData>
    <row r="1" spans="1:19" s="594" customFormat="1" x14ac:dyDescent="0.35">
      <c r="A1" s="593" t="s">
        <v>30</v>
      </c>
    </row>
    <row r="2" spans="1:19" x14ac:dyDescent="0.35">
      <c r="D2" s="596" t="s">
        <v>624</v>
      </c>
      <c r="E2" s="597">
        <v>55</v>
      </c>
      <c r="G2" s="596" t="s">
        <v>625</v>
      </c>
      <c r="H2" s="598">
        <f>Inputs!$D$5</f>
        <v>1000000</v>
      </c>
    </row>
    <row r="3" spans="1:19" x14ac:dyDescent="0.35">
      <c r="A3"/>
      <c r="G3" s="596" t="s">
        <v>626</v>
      </c>
      <c r="H3" s="599">
        <f>1/Inputs!$D$6</f>
        <v>1.1023109950010197</v>
      </c>
    </row>
    <row r="4" spans="1:19" x14ac:dyDescent="0.35">
      <c r="B4" s="595" t="str">
        <f>"Speed: "&amp; $E$2 &amp;"mph"</f>
        <v>Speed: 55mph</v>
      </c>
    </row>
    <row r="5" spans="1:19" x14ac:dyDescent="0.35">
      <c r="B5" s="595" t="s">
        <v>120</v>
      </c>
      <c r="C5" s="839" t="s">
        <v>627</v>
      </c>
      <c r="D5" s="839"/>
      <c r="E5" s="839"/>
      <c r="F5" s="839"/>
      <c r="G5" s="839"/>
      <c r="H5" s="839"/>
      <c r="I5" s="839"/>
      <c r="M5" s="839"/>
      <c r="N5" s="839"/>
      <c r="O5" s="839"/>
      <c r="P5" s="839"/>
      <c r="Q5" s="839"/>
      <c r="R5" s="839"/>
      <c r="S5" s="839"/>
    </row>
    <row r="6" spans="1:19" x14ac:dyDescent="0.35">
      <c r="B6" s="601" t="s">
        <v>42</v>
      </c>
      <c r="C6" s="601" t="str">
        <f t="shared" ref="C6:I6" si="0">C61</f>
        <v>CO2</v>
      </c>
      <c r="D6" s="601" t="str">
        <f t="shared" si="0"/>
        <v>CO</v>
      </c>
      <c r="E6" s="601" t="str">
        <f t="shared" si="0"/>
        <v>NOX</v>
      </c>
      <c r="F6" s="601" t="str">
        <f t="shared" si="0"/>
        <v>PM10</v>
      </c>
      <c r="G6" s="601" t="str">
        <f t="shared" si="0"/>
        <v>PM2.5</v>
      </c>
      <c r="H6" s="601" t="str">
        <f t="shared" si="0"/>
        <v>SO2</v>
      </c>
      <c r="I6" s="601" t="str">
        <f t="shared" si="0"/>
        <v>VOC</v>
      </c>
      <c r="L6" s="601"/>
      <c r="M6" s="601"/>
      <c r="N6" s="601"/>
      <c r="O6" s="601"/>
      <c r="P6" s="601"/>
      <c r="Q6" s="601"/>
      <c r="R6" s="601"/>
      <c r="S6" s="601"/>
    </row>
    <row r="7" spans="1:19" x14ac:dyDescent="0.35">
      <c r="A7" s="611"/>
      <c r="B7" s="612">
        <v>2024</v>
      </c>
      <c r="C7" s="611">
        <f t="shared" ref="C7:I7" si="1">C8</f>
        <v>1.1898278878631917E-3</v>
      </c>
      <c r="D7" s="611">
        <f t="shared" si="1"/>
        <v>1.1990664615693525E-6</v>
      </c>
      <c r="E7" s="611">
        <f t="shared" si="1"/>
        <v>1.7466358250127929E-6</v>
      </c>
      <c r="F7" s="611">
        <f t="shared" si="1"/>
        <v>4.4437070678264589E-8</v>
      </c>
      <c r="G7" s="611">
        <f t="shared" si="1"/>
        <v>4.0881942321533319E-8</v>
      </c>
      <c r="H7" s="611">
        <f t="shared" si="1"/>
        <v>3.9953841496693027E-9</v>
      </c>
      <c r="I7" s="611">
        <f t="shared" si="1"/>
        <v>7.1919126262422445E-8</v>
      </c>
      <c r="L7" s="601"/>
      <c r="M7" s="601"/>
      <c r="N7" s="601"/>
      <c r="O7" s="601"/>
      <c r="P7" s="601"/>
      <c r="Q7" s="601"/>
      <c r="R7" s="601"/>
      <c r="S7" s="601"/>
    </row>
    <row r="8" spans="1:19" x14ac:dyDescent="0.35">
      <c r="B8" s="674">
        <f>B7+1</f>
        <v>2025</v>
      </c>
      <c r="C8" s="603">
        <f t="shared" ref="C8:I8" si="2">INDEX($C$62:$I$77,MATCH($E$2,$B$62:$B$77,0),MATCH(C$6,$C$61:$I$61,0))/$H$2*$H$3</f>
        <v>1.1898278878631917E-3</v>
      </c>
      <c r="D8" s="603">
        <f t="shared" si="2"/>
        <v>1.1990664615693525E-6</v>
      </c>
      <c r="E8" s="603">
        <f t="shared" si="2"/>
        <v>1.7466358250127929E-6</v>
      </c>
      <c r="F8" s="603">
        <f t="shared" si="2"/>
        <v>4.4437070678264589E-8</v>
      </c>
      <c r="G8" s="603">
        <f t="shared" si="2"/>
        <v>4.0881942321533319E-8</v>
      </c>
      <c r="H8" s="616">
        <f t="shared" si="2"/>
        <v>3.9953841496693027E-9</v>
      </c>
      <c r="I8" s="603">
        <f t="shared" si="2"/>
        <v>7.1919126262422445E-8</v>
      </c>
      <c r="L8" s="601"/>
      <c r="M8" s="601"/>
      <c r="N8" s="601"/>
      <c r="O8" s="601"/>
      <c r="P8" s="601"/>
      <c r="Q8" s="601"/>
      <c r="R8" s="601"/>
      <c r="S8" s="601"/>
    </row>
    <row r="9" spans="1:19" x14ac:dyDescent="0.35">
      <c r="B9" s="604">
        <f>B8+1</f>
        <v>2026</v>
      </c>
      <c r="C9" s="605">
        <f>C8+(C$13-C$8)/($B$13-$B$8)</f>
        <v>1.1682948474205641E-3</v>
      </c>
      <c r="D9" s="605">
        <f t="shared" ref="D9:I12" si="3">D8+(D$13-D$8)/($B$13-$B$8)</f>
        <v>1.1656224028706193E-6</v>
      </c>
      <c r="E9" s="605">
        <f t="shared" si="3"/>
        <v>1.6010358969972023E-6</v>
      </c>
      <c r="F9" s="605">
        <f t="shared" si="3"/>
        <v>3.9342261681269145E-8</v>
      </c>
      <c r="G9" s="605">
        <f t="shared" si="3"/>
        <v>3.6194735648556299E-8</v>
      </c>
      <c r="H9" s="605">
        <f t="shared" si="3"/>
        <v>3.9210123159284271E-9</v>
      </c>
      <c r="I9" s="605">
        <f t="shared" si="3"/>
        <v>6.4705340700097585E-8</v>
      </c>
      <c r="L9" s="601"/>
      <c r="M9" s="601"/>
      <c r="N9" s="601"/>
      <c r="O9" s="601"/>
      <c r="P9" s="601"/>
      <c r="Q9" s="601"/>
      <c r="R9" s="601"/>
      <c r="S9" s="601"/>
    </row>
    <row r="10" spans="1:19" x14ac:dyDescent="0.35">
      <c r="B10" s="604">
        <f>B9+1</f>
        <v>2027</v>
      </c>
      <c r="C10" s="605">
        <f>C9+(C$13-C$8)/($B$13-$B$8)</f>
        <v>1.1467618069779366E-3</v>
      </c>
      <c r="D10" s="605">
        <f t="shared" si="3"/>
        <v>1.132178344171886E-6</v>
      </c>
      <c r="E10" s="605">
        <f t="shared" si="3"/>
        <v>1.4554359689816118E-6</v>
      </c>
      <c r="F10" s="605">
        <f t="shared" si="3"/>
        <v>3.4247452684273701E-8</v>
      </c>
      <c r="G10" s="605">
        <f t="shared" si="3"/>
        <v>3.1507528975579278E-8</v>
      </c>
      <c r="H10" s="605">
        <f t="shared" si="3"/>
        <v>3.8466404821875514E-9</v>
      </c>
      <c r="I10" s="605">
        <f t="shared" si="3"/>
        <v>5.7491555137772725E-8</v>
      </c>
      <c r="L10" s="601"/>
      <c r="M10" s="601"/>
      <c r="N10" s="601"/>
      <c r="O10" s="601"/>
      <c r="P10" s="601"/>
      <c r="Q10" s="601"/>
      <c r="R10" s="601"/>
      <c r="S10" s="601"/>
    </row>
    <row r="11" spans="1:19" x14ac:dyDescent="0.35">
      <c r="B11" s="604">
        <f t="shared" ref="B11:B16" si="4">B10+1</f>
        <v>2028</v>
      </c>
      <c r="C11" s="605">
        <f>C10+(C$13-C$8)/($B$13-$B$8)</f>
        <v>1.125228766535309E-3</v>
      </c>
      <c r="D11" s="605">
        <f t="shared" si="3"/>
        <v>1.0987342854731527E-6</v>
      </c>
      <c r="E11" s="605">
        <f t="shared" si="3"/>
        <v>1.3098360409660212E-6</v>
      </c>
      <c r="F11" s="605">
        <f t="shared" si="3"/>
        <v>2.9152643687278257E-8</v>
      </c>
      <c r="G11" s="605">
        <f t="shared" si="3"/>
        <v>2.682032230260226E-8</v>
      </c>
      <c r="H11" s="605">
        <f t="shared" si="3"/>
        <v>3.7722686484466758E-9</v>
      </c>
      <c r="I11" s="605">
        <f t="shared" si="3"/>
        <v>5.0277769575447865E-8</v>
      </c>
      <c r="L11" s="601"/>
      <c r="M11" s="601"/>
      <c r="N11" s="601"/>
      <c r="O11" s="601"/>
      <c r="P11" s="601"/>
      <c r="Q11" s="601"/>
      <c r="R11" s="601"/>
      <c r="S11" s="601"/>
    </row>
    <row r="12" spans="1:19" x14ac:dyDescent="0.35">
      <c r="B12" s="604">
        <f>B11+1</f>
        <v>2029</v>
      </c>
      <c r="C12" s="605">
        <f>C11+(C$13-C$8)/($B$13-$B$8)</f>
        <v>1.1036957260926814E-3</v>
      </c>
      <c r="D12" s="605">
        <f t="shared" si="3"/>
        <v>1.0652902267744195E-6</v>
      </c>
      <c r="E12" s="605">
        <f t="shared" si="3"/>
        <v>1.1642361129504306E-6</v>
      </c>
      <c r="F12" s="605">
        <f t="shared" si="3"/>
        <v>2.4057834690282813E-8</v>
      </c>
      <c r="G12" s="605">
        <f t="shared" si="3"/>
        <v>2.2133115629625243E-8</v>
      </c>
      <c r="H12" s="605">
        <f t="shared" si="3"/>
        <v>3.6978968147058006E-9</v>
      </c>
      <c r="I12" s="605">
        <f t="shared" si="3"/>
        <v>4.3063984013123005E-8</v>
      </c>
      <c r="L12" s="601"/>
      <c r="M12" s="601"/>
      <c r="N12" s="601"/>
      <c r="O12" s="601"/>
      <c r="P12" s="601"/>
      <c r="Q12" s="601"/>
      <c r="R12" s="601"/>
      <c r="S12" s="601"/>
    </row>
    <row r="13" spans="1:19" x14ac:dyDescent="0.35">
      <c r="B13" s="602">
        <f>B12+1</f>
        <v>2030</v>
      </c>
      <c r="C13" s="603">
        <f t="shared" ref="C13:I13" si="5">INDEX($C$84:$I$99,MATCH($E$2,$B$84:$B$99,0),MATCH(C$6,$C$83:$I$83,0))/$H$2*$H$3</f>
        <v>1.0821626856500537E-3</v>
      </c>
      <c r="D13" s="603">
        <f t="shared" si="5"/>
        <v>1.0318461680756862E-6</v>
      </c>
      <c r="E13" s="603">
        <f t="shared" si="5"/>
        <v>1.0186361849348396E-6</v>
      </c>
      <c r="F13" s="603">
        <f t="shared" si="5"/>
        <v>1.8963025693287366E-8</v>
      </c>
      <c r="G13" s="603">
        <f t="shared" si="5"/>
        <v>1.7445908956648229E-8</v>
      </c>
      <c r="H13" s="603">
        <f t="shared" si="5"/>
        <v>3.6235249809649258E-9</v>
      </c>
      <c r="I13" s="603">
        <f t="shared" si="5"/>
        <v>3.5850198450798151E-8</v>
      </c>
      <c r="L13" s="604"/>
      <c r="M13" s="605"/>
      <c r="N13" s="605"/>
      <c r="O13" s="605"/>
      <c r="P13" s="605"/>
      <c r="Q13" s="605"/>
      <c r="R13" s="605"/>
      <c r="S13" s="605"/>
    </row>
    <row r="14" spans="1:19" x14ac:dyDescent="0.35">
      <c r="B14" s="604">
        <f t="shared" si="4"/>
        <v>2031</v>
      </c>
      <c r="C14" s="605">
        <f t="shared" ref="C14:I22" si="6">C13+(C$23-C$13)/($B$23-$B$13)</f>
        <v>1.0752723874788048E-3</v>
      </c>
      <c r="D14" s="605">
        <f t="shared" si="6"/>
        <v>1.0216136284555387E-6</v>
      </c>
      <c r="E14" s="605">
        <f t="shared" si="6"/>
        <v>9.7142684957375557E-7</v>
      </c>
      <c r="F14" s="605">
        <f t="shared" si="6"/>
        <v>1.7626294755914529E-8</v>
      </c>
      <c r="G14" s="605">
        <f t="shared" si="6"/>
        <v>1.6216122348700816E-8</v>
      </c>
      <c r="H14" s="605">
        <f t="shared" si="6"/>
        <v>3.5998669098534236E-9</v>
      </c>
      <c r="I14" s="605">
        <f t="shared" si="6"/>
        <v>3.3834168951267443E-8</v>
      </c>
      <c r="J14" s="605"/>
      <c r="L14" s="604"/>
      <c r="M14" s="605"/>
      <c r="N14" s="605"/>
      <c r="O14" s="605"/>
      <c r="P14" s="605"/>
      <c r="Q14" s="605"/>
      <c r="R14" s="605"/>
      <c r="S14" s="605"/>
    </row>
    <row r="15" spans="1:19" x14ac:dyDescent="0.35">
      <c r="B15" s="604">
        <f>B14+1</f>
        <v>2032</v>
      </c>
      <c r="C15" s="605">
        <f t="shared" si="6"/>
        <v>1.068382089307556E-3</v>
      </c>
      <c r="D15" s="605">
        <f t="shared" si="6"/>
        <v>1.0113810888353913E-6</v>
      </c>
      <c r="E15" s="605">
        <f t="shared" si="6"/>
        <v>9.2421751421267153E-7</v>
      </c>
      <c r="F15" s="605">
        <f t="shared" si="6"/>
        <v>1.6289563818541692E-8</v>
      </c>
      <c r="G15" s="605">
        <f t="shared" si="6"/>
        <v>1.4986335740753404E-8</v>
      </c>
      <c r="H15" s="605">
        <f t="shared" si="6"/>
        <v>3.5762088387419214E-9</v>
      </c>
      <c r="I15" s="605">
        <f t="shared" si="6"/>
        <v>3.1818139451736735E-8</v>
      </c>
      <c r="J15" s="605"/>
      <c r="L15" s="604"/>
      <c r="M15" s="605"/>
      <c r="N15" s="605"/>
      <c r="O15" s="605"/>
      <c r="P15" s="605"/>
      <c r="Q15" s="605"/>
      <c r="R15" s="605"/>
      <c r="S15" s="605"/>
    </row>
    <row r="16" spans="1:19" x14ac:dyDescent="0.35">
      <c r="B16" s="604">
        <f t="shared" si="4"/>
        <v>2033</v>
      </c>
      <c r="C16" s="605">
        <f t="shared" si="6"/>
        <v>1.0614917911363072E-3</v>
      </c>
      <c r="D16" s="605">
        <f t="shared" si="6"/>
        <v>1.0011485492152438E-6</v>
      </c>
      <c r="E16" s="605">
        <f t="shared" si="6"/>
        <v>8.7700817885158749E-7</v>
      </c>
      <c r="F16" s="605">
        <f t="shared" si="6"/>
        <v>1.4952832881168856E-8</v>
      </c>
      <c r="G16" s="605">
        <f t="shared" si="6"/>
        <v>1.3756549132805992E-8</v>
      </c>
      <c r="H16" s="605">
        <f t="shared" si="6"/>
        <v>3.5525507676304191E-9</v>
      </c>
      <c r="I16" s="605">
        <f t="shared" si="6"/>
        <v>2.9802109952206023E-8</v>
      </c>
      <c r="J16" s="605"/>
      <c r="L16" s="604"/>
      <c r="M16" s="605"/>
      <c r="N16" s="605"/>
      <c r="O16" s="605"/>
      <c r="P16" s="605"/>
      <c r="Q16" s="605"/>
      <c r="R16" s="605"/>
      <c r="S16" s="605"/>
    </row>
    <row r="17" spans="1:19" x14ac:dyDescent="0.35">
      <c r="B17" s="604">
        <f>B16+1</f>
        <v>2034</v>
      </c>
      <c r="C17" s="605">
        <f t="shared" si="6"/>
        <v>1.0546014929650584E-3</v>
      </c>
      <c r="D17" s="605">
        <f t="shared" si="6"/>
        <v>9.909160095950964E-7</v>
      </c>
      <c r="E17" s="605">
        <f t="shared" si="6"/>
        <v>8.2979884349050346E-7</v>
      </c>
      <c r="F17" s="605">
        <f t="shared" si="6"/>
        <v>1.3616101943796018E-8</v>
      </c>
      <c r="G17" s="605">
        <f t="shared" si="6"/>
        <v>1.252676252485858E-8</v>
      </c>
      <c r="H17" s="605">
        <f t="shared" si="6"/>
        <v>3.5288926965189169E-9</v>
      </c>
      <c r="I17" s="605">
        <f t="shared" si="6"/>
        <v>2.7786080452675312E-8</v>
      </c>
      <c r="J17" s="605"/>
      <c r="L17" s="604"/>
      <c r="M17" s="605"/>
      <c r="N17" s="605"/>
      <c r="O17" s="605"/>
      <c r="P17" s="605"/>
      <c r="Q17" s="605"/>
      <c r="R17" s="605"/>
      <c r="S17" s="605"/>
    </row>
    <row r="18" spans="1:19" x14ac:dyDescent="0.35">
      <c r="B18" s="604">
        <f>B17+1</f>
        <v>2035</v>
      </c>
      <c r="C18" s="605">
        <f t="shared" si="6"/>
        <v>1.0477111947938096E-3</v>
      </c>
      <c r="D18" s="605">
        <f t="shared" si="6"/>
        <v>9.8068346997494895E-7</v>
      </c>
      <c r="E18" s="605">
        <f t="shared" si="6"/>
        <v>7.8258950812941942E-7</v>
      </c>
      <c r="F18" s="605">
        <f t="shared" si="6"/>
        <v>1.2279371006423179E-8</v>
      </c>
      <c r="G18" s="605">
        <f t="shared" si="6"/>
        <v>1.1296975916911167E-8</v>
      </c>
      <c r="H18" s="605">
        <f t="shared" si="6"/>
        <v>3.5052346254074147E-9</v>
      </c>
      <c r="I18" s="605">
        <f t="shared" si="6"/>
        <v>2.5770050953144601E-8</v>
      </c>
      <c r="J18" s="605"/>
      <c r="L18" s="604"/>
      <c r="M18" s="605"/>
      <c r="N18" s="605"/>
      <c r="O18" s="605"/>
      <c r="P18" s="605"/>
      <c r="Q18" s="605"/>
      <c r="R18" s="605"/>
      <c r="S18" s="605"/>
    </row>
    <row r="19" spans="1:19" x14ac:dyDescent="0.35">
      <c r="B19" s="604">
        <f t="shared" ref="B19:B53" si="7">B18+1</f>
        <v>2036</v>
      </c>
      <c r="C19" s="605">
        <f t="shared" si="6"/>
        <v>1.0408208966225607E-3</v>
      </c>
      <c r="D19" s="605">
        <f t="shared" si="6"/>
        <v>9.704509303548015E-7</v>
      </c>
      <c r="E19" s="605">
        <f t="shared" si="6"/>
        <v>7.3538017276833538E-7</v>
      </c>
      <c r="F19" s="605">
        <f t="shared" si="6"/>
        <v>1.0942640069050341E-8</v>
      </c>
      <c r="G19" s="605">
        <f t="shared" si="6"/>
        <v>1.0067189308963755E-8</v>
      </c>
      <c r="H19" s="605">
        <f t="shared" si="6"/>
        <v>3.4815765542959125E-9</v>
      </c>
      <c r="I19" s="605">
        <f t="shared" si="6"/>
        <v>2.3754021453613889E-8</v>
      </c>
      <c r="J19" s="605"/>
      <c r="L19" s="604"/>
      <c r="M19" s="605"/>
      <c r="N19" s="605"/>
      <c r="O19" s="605"/>
      <c r="P19" s="605"/>
      <c r="Q19" s="605"/>
      <c r="R19" s="605"/>
      <c r="S19" s="605"/>
    </row>
    <row r="20" spans="1:19" x14ac:dyDescent="0.35">
      <c r="B20" s="604">
        <f t="shared" si="7"/>
        <v>2037</v>
      </c>
      <c r="C20" s="605">
        <f t="shared" si="6"/>
        <v>1.0339305984513119E-3</v>
      </c>
      <c r="D20" s="605">
        <f t="shared" si="6"/>
        <v>9.6021839073465406E-7</v>
      </c>
      <c r="E20" s="605">
        <f t="shared" si="6"/>
        <v>6.8817083740725134E-7</v>
      </c>
      <c r="F20" s="605">
        <f t="shared" si="6"/>
        <v>9.6059091316775029E-9</v>
      </c>
      <c r="G20" s="605">
        <f t="shared" si="6"/>
        <v>8.8374027010163429E-9</v>
      </c>
      <c r="H20" s="605">
        <f t="shared" si="6"/>
        <v>3.4579184831844103E-9</v>
      </c>
      <c r="I20" s="605">
        <f t="shared" si="6"/>
        <v>2.1737991954083178E-8</v>
      </c>
      <c r="J20" s="605"/>
      <c r="L20" s="604"/>
      <c r="M20" s="605"/>
      <c r="N20" s="605"/>
      <c r="O20" s="605"/>
      <c r="P20" s="605"/>
      <c r="Q20" s="605"/>
      <c r="R20" s="605"/>
      <c r="S20" s="605"/>
    </row>
    <row r="21" spans="1:19" x14ac:dyDescent="0.35">
      <c r="B21" s="604">
        <f t="shared" si="7"/>
        <v>2038</v>
      </c>
      <c r="C21" s="605">
        <f t="shared" si="6"/>
        <v>1.0270403002800631E-3</v>
      </c>
      <c r="D21" s="605">
        <f t="shared" si="6"/>
        <v>9.4998585111450661E-7</v>
      </c>
      <c r="E21" s="605">
        <f t="shared" si="6"/>
        <v>6.409615020461673E-7</v>
      </c>
      <c r="F21" s="605">
        <f t="shared" si="6"/>
        <v>8.2691781943046646E-9</v>
      </c>
      <c r="G21" s="605">
        <f t="shared" si="6"/>
        <v>7.6076160930689306E-9</v>
      </c>
      <c r="H21" s="605">
        <f t="shared" si="6"/>
        <v>3.4342604120729081E-9</v>
      </c>
      <c r="I21" s="605">
        <f t="shared" si="6"/>
        <v>1.9721962454552466E-8</v>
      </c>
      <c r="J21" s="605"/>
      <c r="L21" s="604"/>
      <c r="M21" s="605"/>
      <c r="N21" s="605"/>
      <c r="O21" s="605"/>
      <c r="P21" s="605"/>
      <c r="Q21" s="605"/>
      <c r="R21" s="605"/>
      <c r="S21" s="605"/>
    </row>
    <row r="22" spans="1:19" x14ac:dyDescent="0.35">
      <c r="B22" s="604">
        <f t="shared" si="7"/>
        <v>2039</v>
      </c>
      <c r="C22" s="605">
        <f t="shared" si="6"/>
        <v>1.0201500021088143E-3</v>
      </c>
      <c r="D22" s="605">
        <f t="shared" si="6"/>
        <v>9.3975331149435916E-7</v>
      </c>
      <c r="E22" s="605">
        <f t="shared" si="6"/>
        <v>5.9375216668508327E-7</v>
      </c>
      <c r="F22" s="605">
        <f t="shared" si="6"/>
        <v>6.9324472569318264E-9</v>
      </c>
      <c r="G22" s="605">
        <f t="shared" si="6"/>
        <v>6.3778294851215184E-9</v>
      </c>
      <c r="H22" s="605">
        <f t="shared" si="6"/>
        <v>3.4106023409614058E-9</v>
      </c>
      <c r="I22" s="605">
        <f t="shared" si="6"/>
        <v>1.7705932955021755E-8</v>
      </c>
      <c r="L22" s="604"/>
      <c r="M22" s="605"/>
      <c r="N22" s="605"/>
      <c r="O22" s="605"/>
      <c r="P22" s="605"/>
      <c r="Q22" s="605"/>
      <c r="R22" s="605"/>
      <c r="S22" s="605"/>
    </row>
    <row r="23" spans="1:19" x14ac:dyDescent="0.35">
      <c r="A23" s="605"/>
      <c r="B23" s="602">
        <f t="shared" si="7"/>
        <v>2040</v>
      </c>
      <c r="C23" s="603">
        <f t="shared" ref="C23:I23" si="8">INDEX($C$106:$I$121,MATCH($E$2,$B$106:$B$121,0),MATCH(C$6,$C$105:$I$105,0))/$H$2*$H$3</f>
        <v>1.013259703937565E-3</v>
      </c>
      <c r="D23" s="603">
        <f t="shared" si="8"/>
        <v>9.2952077187421118E-7</v>
      </c>
      <c r="E23" s="603">
        <f t="shared" si="8"/>
        <v>5.4654283132399944E-7</v>
      </c>
      <c r="F23" s="603">
        <f t="shared" si="8"/>
        <v>5.5957163195589873E-9</v>
      </c>
      <c r="G23" s="603">
        <f t="shared" si="8"/>
        <v>5.1480428771741036E-9</v>
      </c>
      <c r="H23" s="603">
        <f t="shared" si="8"/>
        <v>3.386944269849902E-9</v>
      </c>
      <c r="I23" s="603">
        <f t="shared" si="8"/>
        <v>1.5689903455491043E-8</v>
      </c>
      <c r="L23" s="604"/>
      <c r="M23" s="605"/>
      <c r="N23" s="605"/>
      <c r="O23" s="605"/>
      <c r="P23" s="605"/>
      <c r="Q23" s="605"/>
      <c r="R23" s="605"/>
      <c r="S23" s="605"/>
    </row>
    <row r="24" spans="1:19" x14ac:dyDescent="0.35">
      <c r="A24" s="605"/>
      <c r="B24" s="604">
        <f t="shared" si="7"/>
        <v>2041</v>
      </c>
      <c r="C24" s="605">
        <f t="shared" ref="C24:I32" si="9">C23+(C$33-C$23)/($B$33-$B$23)</f>
        <v>1.0113199134424266E-3</v>
      </c>
      <c r="D24" s="605">
        <f t="shared" si="9"/>
        <v>9.2598275728975709E-7</v>
      </c>
      <c r="E24" s="605">
        <f t="shared" si="9"/>
        <v>5.3506543703269606E-7</v>
      </c>
      <c r="F24" s="605">
        <f t="shared" si="9"/>
        <v>5.3154953649774267E-9</v>
      </c>
      <c r="G24" s="605">
        <f t="shared" si="9"/>
        <v>4.890240484340533E-9</v>
      </c>
      <c r="H24" s="605">
        <f t="shared" si="9"/>
        <v>3.3803315020353661E-9</v>
      </c>
      <c r="I24" s="605">
        <f t="shared" si="9"/>
        <v>1.5109888612903143E-8</v>
      </c>
      <c r="L24" s="604"/>
      <c r="M24" s="605"/>
      <c r="N24" s="605"/>
      <c r="O24" s="605"/>
      <c r="P24" s="605"/>
      <c r="Q24" s="605"/>
      <c r="R24" s="605"/>
      <c r="S24" s="605"/>
    </row>
    <row r="25" spans="1:19" x14ac:dyDescent="0.35">
      <c r="A25" s="605"/>
      <c r="B25" s="604">
        <f t="shared" si="7"/>
        <v>2042</v>
      </c>
      <c r="C25" s="605">
        <f t="shared" si="9"/>
        <v>1.0093801229472882E-3</v>
      </c>
      <c r="D25" s="605">
        <f t="shared" si="9"/>
        <v>9.2244474270530299E-7</v>
      </c>
      <c r="E25" s="605">
        <f t="shared" si="9"/>
        <v>5.2358804274139268E-7</v>
      </c>
      <c r="F25" s="605">
        <f t="shared" si="9"/>
        <v>5.035274410395866E-9</v>
      </c>
      <c r="G25" s="605">
        <f t="shared" si="9"/>
        <v>4.6324380915069623E-9</v>
      </c>
      <c r="H25" s="605">
        <f t="shared" si="9"/>
        <v>3.3737187342208303E-9</v>
      </c>
      <c r="I25" s="605">
        <f t="shared" si="9"/>
        <v>1.4529873770315242E-8</v>
      </c>
      <c r="L25" s="604"/>
      <c r="M25" s="605"/>
      <c r="N25" s="605"/>
      <c r="O25" s="605"/>
      <c r="P25" s="605"/>
      <c r="Q25" s="605"/>
      <c r="R25" s="605"/>
      <c r="S25" s="605"/>
    </row>
    <row r="26" spans="1:19" x14ac:dyDescent="0.35">
      <c r="A26" s="605"/>
      <c r="B26" s="604">
        <f t="shared" si="7"/>
        <v>2043</v>
      </c>
      <c r="C26" s="605">
        <f t="shared" si="9"/>
        <v>1.0074403324521499E-3</v>
      </c>
      <c r="D26" s="605">
        <f t="shared" si="9"/>
        <v>9.1890672812084889E-7</v>
      </c>
      <c r="E26" s="605">
        <f t="shared" si="9"/>
        <v>5.1211064845008929E-7</v>
      </c>
      <c r="F26" s="605">
        <f t="shared" si="9"/>
        <v>4.7550534558143054E-9</v>
      </c>
      <c r="G26" s="605">
        <f t="shared" si="9"/>
        <v>4.3746356986733917E-9</v>
      </c>
      <c r="H26" s="605">
        <f t="shared" si="9"/>
        <v>3.3671059664062944E-9</v>
      </c>
      <c r="I26" s="605">
        <f t="shared" si="9"/>
        <v>1.3949858927727341E-8</v>
      </c>
      <c r="L26" s="604"/>
      <c r="M26" s="605"/>
      <c r="N26" s="605"/>
      <c r="O26" s="605"/>
      <c r="P26" s="605"/>
      <c r="Q26" s="605"/>
      <c r="R26" s="605"/>
      <c r="S26" s="605"/>
    </row>
    <row r="27" spans="1:19" x14ac:dyDescent="0.35">
      <c r="A27" s="605"/>
      <c r="B27" s="604">
        <f t="shared" si="7"/>
        <v>2044</v>
      </c>
      <c r="C27" s="605">
        <f t="shared" si="9"/>
        <v>1.0055005419570115E-3</v>
      </c>
      <c r="D27" s="605">
        <f t="shared" si="9"/>
        <v>9.153687135363948E-7</v>
      </c>
      <c r="E27" s="605">
        <f t="shared" si="9"/>
        <v>5.0063325415878591E-7</v>
      </c>
      <c r="F27" s="605">
        <f t="shared" si="9"/>
        <v>4.4748325012327447E-9</v>
      </c>
      <c r="G27" s="605">
        <f t="shared" si="9"/>
        <v>4.116833305839821E-9</v>
      </c>
      <c r="H27" s="605">
        <f t="shared" si="9"/>
        <v>3.3604931985917585E-9</v>
      </c>
      <c r="I27" s="605">
        <f t="shared" si="9"/>
        <v>1.336984408513944E-8</v>
      </c>
      <c r="L27" s="604"/>
      <c r="M27" s="605"/>
      <c r="N27" s="605"/>
      <c r="O27" s="605"/>
      <c r="P27" s="605"/>
      <c r="Q27" s="605"/>
      <c r="R27" s="605"/>
      <c r="S27" s="605"/>
    </row>
    <row r="28" spans="1:19" x14ac:dyDescent="0.35">
      <c r="A28" s="605"/>
      <c r="B28" s="604">
        <f t="shared" si="7"/>
        <v>2045</v>
      </c>
      <c r="C28" s="605">
        <f t="shared" si="9"/>
        <v>1.0035607514618731E-3</v>
      </c>
      <c r="D28" s="605">
        <f t="shared" si="9"/>
        <v>9.118306989519407E-7</v>
      </c>
      <c r="E28" s="605">
        <f t="shared" si="9"/>
        <v>4.8915585986748253E-7</v>
      </c>
      <c r="F28" s="605">
        <f t="shared" si="9"/>
        <v>4.194611546651184E-9</v>
      </c>
      <c r="G28" s="605">
        <f t="shared" si="9"/>
        <v>3.8590309130062504E-9</v>
      </c>
      <c r="H28" s="605">
        <f t="shared" si="9"/>
        <v>3.3538804307772227E-9</v>
      </c>
      <c r="I28" s="605">
        <f t="shared" si="9"/>
        <v>1.278982924255154E-8</v>
      </c>
      <c r="L28" s="604"/>
      <c r="M28" s="605"/>
      <c r="N28" s="605"/>
      <c r="O28" s="605"/>
      <c r="P28" s="605"/>
      <c r="Q28" s="605"/>
      <c r="R28" s="605"/>
      <c r="S28" s="605"/>
    </row>
    <row r="29" spans="1:19" x14ac:dyDescent="0.35">
      <c r="A29" s="605"/>
      <c r="B29" s="604">
        <f t="shared" si="7"/>
        <v>2046</v>
      </c>
      <c r="C29" s="605">
        <f t="shared" si="9"/>
        <v>1.0016209609667347E-3</v>
      </c>
      <c r="D29" s="605">
        <f t="shared" si="9"/>
        <v>9.0829268436748661E-7</v>
      </c>
      <c r="E29" s="605">
        <f t="shared" si="9"/>
        <v>4.7767846557617914E-7</v>
      </c>
      <c r="F29" s="605">
        <f t="shared" si="9"/>
        <v>3.9143905920696234E-9</v>
      </c>
      <c r="G29" s="605">
        <f t="shared" si="9"/>
        <v>3.6012285201726797E-9</v>
      </c>
      <c r="H29" s="605">
        <f t="shared" si="9"/>
        <v>3.3472676629626868E-9</v>
      </c>
      <c r="I29" s="605">
        <f t="shared" si="9"/>
        <v>1.2209814399963639E-8</v>
      </c>
      <c r="L29" s="604"/>
      <c r="M29" s="605"/>
      <c r="N29" s="605"/>
      <c r="O29" s="605"/>
      <c r="P29" s="605"/>
      <c r="Q29" s="605"/>
      <c r="R29" s="605"/>
      <c r="S29" s="605"/>
    </row>
    <row r="30" spans="1:19" x14ac:dyDescent="0.35">
      <c r="A30" s="605"/>
      <c r="B30" s="604">
        <f t="shared" si="7"/>
        <v>2047</v>
      </c>
      <c r="C30" s="605">
        <f t="shared" si="9"/>
        <v>9.9968117047159635E-4</v>
      </c>
      <c r="D30" s="605">
        <f t="shared" si="9"/>
        <v>9.0475466978303251E-7</v>
      </c>
      <c r="E30" s="605">
        <f t="shared" si="9"/>
        <v>4.6620107128487571E-7</v>
      </c>
      <c r="F30" s="605">
        <f t="shared" si="9"/>
        <v>3.6341696374880631E-9</v>
      </c>
      <c r="G30" s="605">
        <f t="shared" si="9"/>
        <v>3.3434261273391091E-9</v>
      </c>
      <c r="H30" s="605">
        <f t="shared" si="9"/>
        <v>3.340654895148151E-9</v>
      </c>
      <c r="I30" s="605">
        <f t="shared" si="9"/>
        <v>1.1629799557375738E-8</v>
      </c>
      <c r="L30" s="604"/>
      <c r="M30" s="605"/>
      <c r="N30" s="605"/>
      <c r="O30" s="605"/>
      <c r="P30" s="605"/>
      <c r="Q30" s="605"/>
      <c r="R30" s="605"/>
      <c r="S30" s="605"/>
    </row>
    <row r="31" spans="1:19" x14ac:dyDescent="0.35">
      <c r="A31" s="605"/>
      <c r="B31" s="604">
        <f t="shared" si="7"/>
        <v>2048</v>
      </c>
      <c r="C31" s="605">
        <f t="shared" si="9"/>
        <v>9.9774137997645797E-4</v>
      </c>
      <c r="D31" s="605">
        <f t="shared" si="9"/>
        <v>9.0121665519857841E-7</v>
      </c>
      <c r="E31" s="605">
        <f t="shared" si="9"/>
        <v>4.5472367699357227E-7</v>
      </c>
      <c r="F31" s="605">
        <f t="shared" si="9"/>
        <v>3.3539486829065029E-9</v>
      </c>
      <c r="G31" s="605">
        <f t="shared" si="9"/>
        <v>3.0856237345055384E-9</v>
      </c>
      <c r="H31" s="605">
        <f t="shared" si="9"/>
        <v>3.3340421273336151E-9</v>
      </c>
      <c r="I31" s="605">
        <f t="shared" si="9"/>
        <v>1.1049784714787838E-8</v>
      </c>
      <c r="L31" s="604"/>
      <c r="M31" s="605"/>
      <c r="N31" s="605"/>
      <c r="O31" s="605"/>
      <c r="P31" s="605"/>
      <c r="Q31" s="605"/>
      <c r="R31" s="605"/>
      <c r="S31" s="605"/>
    </row>
    <row r="32" spans="1:19" x14ac:dyDescent="0.35">
      <c r="B32" s="604">
        <f t="shared" si="7"/>
        <v>2049</v>
      </c>
      <c r="C32" s="605">
        <f t="shared" si="9"/>
        <v>9.9580158948131959E-4</v>
      </c>
      <c r="D32" s="605">
        <f t="shared" si="9"/>
        <v>8.9767864061412432E-7</v>
      </c>
      <c r="E32" s="605">
        <f t="shared" si="9"/>
        <v>4.4324628270226884E-7</v>
      </c>
      <c r="F32" s="605">
        <f t="shared" si="9"/>
        <v>3.0737277283249426E-9</v>
      </c>
      <c r="G32" s="605">
        <f t="shared" si="9"/>
        <v>2.8278213416719678E-9</v>
      </c>
      <c r="H32" s="605">
        <f t="shared" si="9"/>
        <v>3.3274293595190793E-9</v>
      </c>
      <c r="I32" s="605">
        <f t="shared" si="9"/>
        <v>1.0469769872199937E-8</v>
      </c>
      <c r="L32" s="604"/>
      <c r="M32" s="605"/>
      <c r="N32" s="605"/>
      <c r="O32" s="605"/>
      <c r="P32" s="605"/>
      <c r="Q32" s="605"/>
      <c r="R32" s="605"/>
      <c r="S32" s="605"/>
    </row>
    <row r="33" spans="1:19" x14ac:dyDescent="0.35">
      <c r="A33" s="606"/>
      <c r="B33" s="602">
        <f t="shared" si="7"/>
        <v>2050</v>
      </c>
      <c r="C33" s="603">
        <f t="shared" ref="C33:I33" si="10">INDEX($C$128:$I$143,MATCH($E$2,$B$128:$B$143,0),MATCH(C$6,$C$127:$I$127,0))/$H$2*$H$3</f>
        <v>9.9386179898618165E-4</v>
      </c>
      <c r="D33" s="603">
        <f t="shared" si="10"/>
        <v>8.9414062602967064E-7</v>
      </c>
      <c r="E33" s="603">
        <f t="shared" si="10"/>
        <v>4.3176888841096514E-7</v>
      </c>
      <c r="F33" s="603">
        <f t="shared" si="10"/>
        <v>2.7935067737433844E-9</v>
      </c>
      <c r="G33" s="603">
        <f t="shared" si="10"/>
        <v>2.5700189488383972E-9</v>
      </c>
      <c r="H33" s="603">
        <f t="shared" si="10"/>
        <v>3.3208165917045417E-9</v>
      </c>
      <c r="I33" s="603">
        <f t="shared" si="10"/>
        <v>9.8897550296120361E-9</v>
      </c>
      <c r="L33" s="604"/>
      <c r="M33" s="605"/>
      <c r="N33" s="605"/>
      <c r="O33" s="605"/>
      <c r="P33" s="605"/>
      <c r="Q33" s="605"/>
      <c r="R33" s="605"/>
      <c r="S33" s="605"/>
    </row>
    <row r="34" spans="1:19" x14ac:dyDescent="0.35">
      <c r="A34" s="606"/>
      <c r="B34" s="604">
        <f t="shared" si="7"/>
        <v>2051</v>
      </c>
      <c r="C34" s="605">
        <f t="shared" ref="C34:I42" si="11">C33+(C$43-C$33)/($B$43-$B$33)</f>
        <v>9.9304261452494305E-4</v>
      </c>
      <c r="D34" s="605">
        <f t="shared" si="11"/>
        <v>8.9325335217811744E-7</v>
      </c>
      <c r="E34" s="605">
        <f t="shared" si="11"/>
        <v>4.2939843110257208E-7</v>
      </c>
      <c r="F34" s="605">
        <f t="shared" si="11"/>
        <v>2.7825285131610435E-9</v>
      </c>
      <c r="G34" s="605">
        <f t="shared" si="11"/>
        <v>2.5599190733931761E-9</v>
      </c>
      <c r="H34" s="605">
        <f t="shared" si="11"/>
        <v>3.318077895866078E-9</v>
      </c>
      <c r="I34" s="605">
        <f t="shared" si="11"/>
        <v>9.8539378764459429E-9</v>
      </c>
      <c r="L34" s="604"/>
      <c r="M34" s="605"/>
      <c r="N34" s="605"/>
      <c r="O34" s="605"/>
      <c r="P34" s="605"/>
      <c r="Q34" s="605"/>
      <c r="R34" s="605"/>
      <c r="S34" s="605"/>
    </row>
    <row r="35" spans="1:19" x14ac:dyDescent="0.35">
      <c r="A35" s="606"/>
      <c r="B35" s="604">
        <f t="shared" si="7"/>
        <v>2052</v>
      </c>
      <c r="C35" s="605">
        <f t="shared" si="11"/>
        <v>9.9222343006370446E-4</v>
      </c>
      <c r="D35" s="605">
        <f t="shared" si="11"/>
        <v>8.9236607832656424E-7</v>
      </c>
      <c r="E35" s="605">
        <f t="shared" si="11"/>
        <v>4.2702797379417903E-7</v>
      </c>
      <c r="F35" s="605">
        <f t="shared" si="11"/>
        <v>2.7715502525787026E-9</v>
      </c>
      <c r="G35" s="605">
        <f t="shared" si="11"/>
        <v>2.5498191979479551E-9</v>
      </c>
      <c r="H35" s="605">
        <f t="shared" si="11"/>
        <v>3.3153392000276142E-9</v>
      </c>
      <c r="I35" s="605">
        <f t="shared" si="11"/>
        <v>9.8181207232798496E-9</v>
      </c>
      <c r="L35" s="604"/>
      <c r="M35" s="605"/>
      <c r="N35" s="605"/>
      <c r="O35" s="605"/>
      <c r="P35" s="605"/>
      <c r="Q35" s="605"/>
      <c r="R35" s="605"/>
      <c r="S35" s="605"/>
    </row>
    <row r="36" spans="1:19" x14ac:dyDescent="0.35">
      <c r="A36" s="606"/>
      <c r="B36" s="604">
        <f t="shared" si="7"/>
        <v>2053</v>
      </c>
      <c r="C36" s="605">
        <f t="shared" si="11"/>
        <v>9.9140424560246587E-4</v>
      </c>
      <c r="D36" s="605">
        <f t="shared" si="11"/>
        <v>8.9147880447501104E-7</v>
      </c>
      <c r="E36" s="605">
        <f t="shared" si="11"/>
        <v>4.2465751648578598E-7</v>
      </c>
      <c r="F36" s="605">
        <f t="shared" si="11"/>
        <v>2.7605719919963616E-9</v>
      </c>
      <c r="G36" s="605">
        <f t="shared" si="11"/>
        <v>2.5397193225027341E-9</v>
      </c>
      <c r="H36" s="605">
        <f t="shared" si="11"/>
        <v>3.3126005041891504E-9</v>
      </c>
      <c r="I36" s="605">
        <f t="shared" si="11"/>
        <v>9.7823035701137564E-9</v>
      </c>
      <c r="L36" s="604"/>
      <c r="M36" s="605"/>
      <c r="N36" s="605"/>
      <c r="O36" s="605"/>
      <c r="P36" s="605"/>
      <c r="Q36" s="605"/>
      <c r="R36" s="605"/>
      <c r="S36" s="605"/>
    </row>
    <row r="37" spans="1:19" x14ac:dyDescent="0.35">
      <c r="A37" s="606"/>
      <c r="B37" s="604">
        <f t="shared" si="7"/>
        <v>2054</v>
      </c>
      <c r="C37" s="605">
        <f t="shared" si="11"/>
        <v>9.9058506114122727E-4</v>
      </c>
      <c r="D37" s="605">
        <f t="shared" si="11"/>
        <v>8.9059153062345783E-7</v>
      </c>
      <c r="E37" s="605">
        <f t="shared" si="11"/>
        <v>4.2228705917739292E-7</v>
      </c>
      <c r="F37" s="605">
        <f t="shared" si="11"/>
        <v>2.7495937314140207E-9</v>
      </c>
      <c r="G37" s="605">
        <f t="shared" si="11"/>
        <v>2.529619447057513E-9</v>
      </c>
      <c r="H37" s="605">
        <f t="shared" si="11"/>
        <v>3.3098618083506866E-9</v>
      </c>
      <c r="I37" s="605">
        <f t="shared" si="11"/>
        <v>9.7464864169476631E-9</v>
      </c>
      <c r="L37" s="604"/>
      <c r="M37" s="605"/>
      <c r="N37" s="605"/>
      <c r="O37" s="605"/>
      <c r="P37" s="605"/>
      <c r="Q37" s="605"/>
      <c r="R37" s="605"/>
      <c r="S37" s="605"/>
    </row>
    <row r="38" spans="1:19" x14ac:dyDescent="0.35">
      <c r="A38" s="606"/>
      <c r="B38" s="604">
        <f t="shared" si="7"/>
        <v>2055</v>
      </c>
      <c r="C38" s="605">
        <f t="shared" si="11"/>
        <v>9.8976587667998868E-4</v>
      </c>
      <c r="D38" s="605">
        <f t="shared" si="11"/>
        <v>8.8970425677190463E-7</v>
      </c>
      <c r="E38" s="605">
        <f t="shared" si="11"/>
        <v>4.1991660186899987E-7</v>
      </c>
      <c r="F38" s="605">
        <f t="shared" si="11"/>
        <v>2.7386154708316797E-9</v>
      </c>
      <c r="G38" s="605">
        <f t="shared" si="11"/>
        <v>2.519519571612292E-9</v>
      </c>
      <c r="H38" s="605">
        <f t="shared" si="11"/>
        <v>3.3071231125122228E-9</v>
      </c>
      <c r="I38" s="605">
        <f t="shared" si="11"/>
        <v>9.7106692637815698E-9</v>
      </c>
      <c r="L38" s="604"/>
      <c r="M38" s="605"/>
      <c r="N38" s="605"/>
      <c r="O38" s="605"/>
      <c r="P38" s="605"/>
      <c r="Q38" s="605"/>
      <c r="R38" s="605"/>
      <c r="S38" s="605"/>
    </row>
    <row r="39" spans="1:19" x14ac:dyDescent="0.35">
      <c r="A39" s="606"/>
      <c r="B39" s="604">
        <f t="shared" si="7"/>
        <v>2056</v>
      </c>
      <c r="C39" s="605">
        <f t="shared" si="11"/>
        <v>9.8894669221875008E-4</v>
      </c>
      <c r="D39" s="605">
        <f t="shared" si="11"/>
        <v>8.8881698292035143E-7</v>
      </c>
      <c r="E39" s="605">
        <f t="shared" si="11"/>
        <v>4.1754614456060682E-7</v>
      </c>
      <c r="F39" s="605">
        <f t="shared" si="11"/>
        <v>2.7276372102493388E-9</v>
      </c>
      <c r="G39" s="605">
        <f t="shared" si="11"/>
        <v>2.509419696167071E-9</v>
      </c>
      <c r="H39" s="605">
        <f t="shared" si="11"/>
        <v>3.3043844166737591E-9</v>
      </c>
      <c r="I39" s="605">
        <f t="shared" si="11"/>
        <v>9.6748521106154766E-9</v>
      </c>
      <c r="L39" s="604"/>
      <c r="M39" s="605"/>
      <c r="N39" s="605"/>
      <c r="O39" s="605"/>
      <c r="P39" s="605"/>
      <c r="Q39" s="605"/>
      <c r="R39" s="605"/>
      <c r="S39" s="605"/>
    </row>
    <row r="40" spans="1:19" x14ac:dyDescent="0.35">
      <c r="A40" s="606"/>
      <c r="B40" s="604">
        <f t="shared" si="7"/>
        <v>2057</v>
      </c>
      <c r="C40" s="605">
        <f t="shared" si="11"/>
        <v>9.8812750775751149E-4</v>
      </c>
      <c r="D40" s="605">
        <f t="shared" si="11"/>
        <v>8.8792970906879823E-7</v>
      </c>
      <c r="E40" s="605">
        <f t="shared" si="11"/>
        <v>4.1517568725221376E-7</v>
      </c>
      <c r="F40" s="605">
        <f t="shared" si="11"/>
        <v>2.7166589496669978E-9</v>
      </c>
      <c r="G40" s="605">
        <f t="shared" si="11"/>
        <v>2.4993198207218499E-9</v>
      </c>
      <c r="H40" s="605">
        <f t="shared" si="11"/>
        <v>3.3016457208352953E-9</v>
      </c>
      <c r="I40" s="605">
        <f t="shared" si="11"/>
        <v>9.6390349574493833E-9</v>
      </c>
      <c r="L40" s="604"/>
      <c r="M40" s="605"/>
      <c r="N40" s="605"/>
      <c r="O40" s="605"/>
      <c r="P40" s="605"/>
      <c r="Q40" s="605"/>
      <c r="R40" s="605"/>
      <c r="S40" s="605"/>
    </row>
    <row r="41" spans="1:19" x14ac:dyDescent="0.35">
      <c r="A41" s="606"/>
      <c r="B41" s="604">
        <f t="shared" si="7"/>
        <v>2058</v>
      </c>
      <c r="C41" s="605">
        <f t="shared" si="11"/>
        <v>9.8730832329627289E-4</v>
      </c>
      <c r="D41" s="605">
        <f t="shared" si="11"/>
        <v>8.8704243521724502E-7</v>
      </c>
      <c r="E41" s="605">
        <f t="shared" si="11"/>
        <v>4.1280522994382071E-7</v>
      </c>
      <c r="F41" s="605">
        <f t="shared" si="11"/>
        <v>2.7056806890846569E-9</v>
      </c>
      <c r="G41" s="605">
        <f t="shared" si="11"/>
        <v>2.4892199452766289E-9</v>
      </c>
      <c r="H41" s="605">
        <f t="shared" si="11"/>
        <v>3.2989070249968315E-9</v>
      </c>
      <c r="I41" s="605">
        <f t="shared" si="11"/>
        <v>9.6032178042832901E-9</v>
      </c>
      <c r="L41" s="604"/>
      <c r="M41" s="605"/>
      <c r="N41" s="605"/>
      <c r="O41" s="605"/>
      <c r="P41" s="605"/>
      <c r="Q41" s="605"/>
      <c r="R41" s="605"/>
      <c r="S41" s="605"/>
    </row>
    <row r="42" spans="1:19" x14ac:dyDescent="0.35">
      <c r="B42" s="604">
        <f t="shared" si="7"/>
        <v>2059</v>
      </c>
      <c r="C42" s="605">
        <f t="shared" si="11"/>
        <v>9.864891388350343E-4</v>
      </c>
      <c r="D42" s="605">
        <f t="shared" si="11"/>
        <v>8.8615516136569182E-7</v>
      </c>
      <c r="E42" s="605">
        <f t="shared" si="11"/>
        <v>4.1043477263542766E-7</v>
      </c>
      <c r="F42" s="605">
        <f t="shared" si="11"/>
        <v>2.694702428502316E-9</v>
      </c>
      <c r="G42" s="605">
        <f t="shared" si="11"/>
        <v>2.4791200698314079E-9</v>
      </c>
      <c r="H42" s="605">
        <f t="shared" si="11"/>
        <v>3.2961683291583677E-9</v>
      </c>
      <c r="I42" s="605">
        <f t="shared" si="11"/>
        <v>9.5674006511171968E-9</v>
      </c>
      <c r="L42" s="604"/>
      <c r="M42" s="605"/>
      <c r="N42" s="605"/>
      <c r="O42" s="605"/>
      <c r="P42" s="605"/>
      <c r="Q42" s="605"/>
      <c r="R42" s="605"/>
      <c r="S42" s="605"/>
    </row>
    <row r="43" spans="1:19" x14ac:dyDescent="0.35">
      <c r="A43" s="607"/>
      <c r="B43" s="602">
        <f t="shared" si="7"/>
        <v>2060</v>
      </c>
      <c r="C43" s="603">
        <f t="shared" ref="C43:I43" si="12">INDEX($C$150:$I$165,MATCH($E$2,$B$150:$B$165,0),MATCH(C$6,$C$149:$I$149,0))/$H$2*$H$3</f>
        <v>9.8566995437379505E-4</v>
      </c>
      <c r="D43" s="603">
        <f t="shared" si="12"/>
        <v>8.852678875141382E-7</v>
      </c>
      <c r="E43" s="603">
        <f t="shared" si="12"/>
        <v>4.080643153270345E-7</v>
      </c>
      <c r="F43" s="603">
        <f t="shared" si="12"/>
        <v>2.6837241679199767E-9</v>
      </c>
      <c r="G43" s="603">
        <f t="shared" si="12"/>
        <v>2.4690201943861856E-9</v>
      </c>
      <c r="H43" s="603">
        <f t="shared" si="12"/>
        <v>3.2934296333199023E-9</v>
      </c>
      <c r="I43" s="603">
        <f t="shared" si="12"/>
        <v>9.5315834979510969E-9</v>
      </c>
      <c r="L43" s="608"/>
      <c r="M43" s="609"/>
      <c r="N43" s="609"/>
      <c r="O43" s="609"/>
      <c r="P43" s="609"/>
      <c r="Q43" s="609"/>
      <c r="R43" s="609"/>
      <c r="S43" s="609"/>
    </row>
    <row r="44" spans="1:19" x14ac:dyDescent="0.35">
      <c r="A44" s="607"/>
      <c r="B44" s="604">
        <f t="shared" si="7"/>
        <v>2061</v>
      </c>
      <c r="C44" s="609">
        <f t="shared" ref="C44:I53" si="13">C43</f>
        <v>9.8566995437379505E-4</v>
      </c>
      <c r="D44" s="609">
        <f t="shared" si="13"/>
        <v>8.852678875141382E-7</v>
      </c>
      <c r="E44" s="609">
        <f t="shared" si="13"/>
        <v>4.080643153270345E-7</v>
      </c>
      <c r="F44" s="609">
        <f>F43</f>
        <v>2.6837241679199767E-9</v>
      </c>
      <c r="G44" s="609">
        <f t="shared" si="13"/>
        <v>2.4690201943861856E-9</v>
      </c>
      <c r="H44" s="609">
        <f t="shared" si="13"/>
        <v>3.2934296333199023E-9</v>
      </c>
      <c r="I44" s="609">
        <f t="shared" si="13"/>
        <v>9.5315834979510969E-9</v>
      </c>
      <c r="L44" s="608"/>
      <c r="M44" s="609"/>
      <c r="N44" s="609"/>
      <c r="O44" s="609"/>
      <c r="P44" s="609"/>
      <c r="Q44" s="609"/>
      <c r="R44" s="609"/>
      <c r="S44" s="609"/>
    </row>
    <row r="45" spans="1:19" x14ac:dyDescent="0.35">
      <c r="A45" s="607"/>
      <c r="B45" s="604">
        <f t="shared" si="7"/>
        <v>2062</v>
      </c>
      <c r="C45" s="609">
        <f t="shared" si="13"/>
        <v>9.8566995437379505E-4</v>
      </c>
      <c r="D45" s="609">
        <f t="shared" si="13"/>
        <v>8.852678875141382E-7</v>
      </c>
      <c r="E45" s="609">
        <f t="shared" si="13"/>
        <v>4.080643153270345E-7</v>
      </c>
      <c r="F45" s="609">
        <f t="shared" si="13"/>
        <v>2.6837241679199767E-9</v>
      </c>
      <c r="G45" s="609">
        <f t="shared" si="13"/>
        <v>2.4690201943861856E-9</v>
      </c>
      <c r="H45" s="609">
        <f t="shared" si="13"/>
        <v>3.2934296333199023E-9</v>
      </c>
      <c r="I45" s="609">
        <f t="shared" si="13"/>
        <v>9.5315834979510969E-9</v>
      </c>
      <c r="L45" s="608"/>
      <c r="M45" s="609"/>
      <c r="N45" s="609"/>
      <c r="O45" s="609"/>
      <c r="P45" s="609"/>
      <c r="Q45" s="609"/>
      <c r="R45" s="609"/>
      <c r="S45" s="609"/>
    </row>
    <row r="46" spans="1:19" x14ac:dyDescent="0.35">
      <c r="A46" s="607"/>
      <c r="B46" s="604">
        <f t="shared" si="7"/>
        <v>2063</v>
      </c>
      <c r="C46" s="609">
        <f t="shared" si="13"/>
        <v>9.8566995437379505E-4</v>
      </c>
      <c r="D46" s="609">
        <f t="shared" si="13"/>
        <v>8.852678875141382E-7</v>
      </c>
      <c r="E46" s="609">
        <f t="shared" si="13"/>
        <v>4.080643153270345E-7</v>
      </c>
      <c r="F46" s="609">
        <f t="shared" si="13"/>
        <v>2.6837241679199767E-9</v>
      </c>
      <c r="G46" s="609">
        <f t="shared" si="13"/>
        <v>2.4690201943861856E-9</v>
      </c>
      <c r="H46" s="609">
        <f t="shared" si="13"/>
        <v>3.2934296333199023E-9</v>
      </c>
      <c r="I46" s="609">
        <f t="shared" si="13"/>
        <v>9.5315834979510969E-9</v>
      </c>
      <c r="L46" s="608"/>
      <c r="M46" s="609"/>
      <c r="N46" s="609"/>
      <c r="O46" s="609"/>
      <c r="P46" s="609"/>
      <c r="Q46" s="609"/>
      <c r="R46" s="609"/>
      <c r="S46" s="609"/>
    </row>
    <row r="47" spans="1:19" x14ac:dyDescent="0.35">
      <c r="A47" s="607"/>
      <c r="B47" s="604">
        <f t="shared" si="7"/>
        <v>2064</v>
      </c>
      <c r="C47" s="609">
        <f t="shared" si="13"/>
        <v>9.8566995437379505E-4</v>
      </c>
      <c r="D47" s="609">
        <f t="shared" si="13"/>
        <v>8.852678875141382E-7</v>
      </c>
      <c r="E47" s="609">
        <f t="shared" si="13"/>
        <v>4.080643153270345E-7</v>
      </c>
      <c r="F47" s="609">
        <f t="shared" si="13"/>
        <v>2.6837241679199767E-9</v>
      </c>
      <c r="G47" s="609">
        <f t="shared" si="13"/>
        <v>2.4690201943861856E-9</v>
      </c>
      <c r="H47" s="609">
        <f t="shared" si="13"/>
        <v>3.2934296333199023E-9</v>
      </c>
      <c r="I47" s="609">
        <f t="shared" si="13"/>
        <v>9.5315834979510969E-9</v>
      </c>
      <c r="L47" s="608"/>
      <c r="M47" s="609"/>
      <c r="N47" s="609"/>
      <c r="O47" s="609"/>
      <c r="P47" s="609"/>
      <c r="Q47" s="609"/>
      <c r="R47" s="609"/>
      <c r="S47" s="609"/>
    </row>
    <row r="48" spans="1:19" x14ac:dyDescent="0.35">
      <c r="A48" s="607"/>
      <c r="B48" s="604">
        <f t="shared" si="7"/>
        <v>2065</v>
      </c>
      <c r="C48" s="609">
        <f t="shared" si="13"/>
        <v>9.8566995437379505E-4</v>
      </c>
      <c r="D48" s="609">
        <f t="shared" si="13"/>
        <v>8.852678875141382E-7</v>
      </c>
      <c r="E48" s="609">
        <f t="shared" si="13"/>
        <v>4.080643153270345E-7</v>
      </c>
      <c r="F48" s="609">
        <f t="shared" si="13"/>
        <v>2.6837241679199767E-9</v>
      </c>
      <c r="G48" s="609">
        <f t="shared" si="13"/>
        <v>2.4690201943861856E-9</v>
      </c>
      <c r="H48" s="609">
        <f t="shared" si="13"/>
        <v>3.2934296333199023E-9</v>
      </c>
      <c r="I48" s="609">
        <f t="shared" si="13"/>
        <v>9.5315834979510969E-9</v>
      </c>
      <c r="L48" s="608"/>
      <c r="M48" s="609"/>
      <c r="N48" s="609"/>
      <c r="O48" s="609"/>
      <c r="P48" s="609"/>
      <c r="Q48" s="609"/>
      <c r="R48" s="609"/>
      <c r="S48" s="609"/>
    </row>
    <row r="49" spans="1:20" x14ac:dyDescent="0.35">
      <c r="A49" s="607"/>
      <c r="B49" s="604">
        <f t="shared" si="7"/>
        <v>2066</v>
      </c>
      <c r="C49" s="609">
        <f t="shared" si="13"/>
        <v>9.8566995437379505E-4</v>
      </c>
      <c r="D49" s="609">
        <f t="shared" si="13"/>
        <v>8.852678875141382E-7</v>
      </c>
      <c r="E49" s="609">
        <f t="shared" si="13"/>
        <v>4.080643153270345E-7</v>
      </c>
      <c r="F49" s="609">
        <f t="shared" si="13"/>
        <v>2.6837241679199767E-9</v>
      </c>
      <c r="G49" s="609">
        <f t="shared" si="13"/>
        <v>2.4690201943861856E-9</v>
      </c>
      <c r="H49" s="609">
        <f t="shared" si="13"/>
        <v>3.2934296333199023E-9</v>
      </c>
      <c r="I49" s="609">
        <f t="shared" si="13"/>
        <v>9.5315834979510969E-9</v>
      </c>
      <c r="L49" s="608"/>
      <c r="M49" s="609"/>
      <c r="N49" s="609"/>
      <c r="O49" s="609"/>
      <c r="P49" s="609"/>
      <c r="Q49" s="609"/>
      <c r="R49" s="609"/>
      <c r="S49" s="609"/>
    </row>
    <row r="50" spans="1:20" x14ac:dyDescent="0.35">
      <c r="A50" s="607"/>
      <c r="B50" s="604">
        <f t="shared" si="7"/>
        <v>2067</v>
      </c>
      <c r="C50" s="609">
        <f t="shared" si="13"/>
        <v>9.8566995437379505E-4</v>
      </c>
      <c r="D50" s="609">
        <f t="shared" si="13"/>
        <v>8.852678875141382E-7</v>
      </c>
      <c r="E50" s="609">
        <f t="shared" si="13"/>
        <v>4.080643153270345E-7</v>
      </c>
      <c r="F50" s="609">
        <f t="shared" si="13"/>
        <v>2.6837241679199767E-9</v>
      </c>
      <c r="G50" s="609">
        <f t="shared" si="13"/>
        <v>2.4690201943861856E-9</v>
      </c>
      <c r="H50" s="609">
        <f t="shared" si="13"/>
        <v>3.2934296333199023E-9</v>
      </c>
      <c r="I50" s="609">
        <f t="shared" si="13"/>
        <v>9.5315834979510969E-9</v>
      </c>
      <c r="L50" s="608"/>
      <c r="M50" s="609"/>
      <c r="N50" s="609"/>
      <c r="O50" s="609"/>
      <c r="P50" s="609"/>
      <c r="Q50" s="609"/>
      <c r="R50" s="609"/>
      <c r="S50" s="609"/>
    </row>
    <row r="51" spans="1:20" x14ac:dyDescent="0.35">
      <c r="A51" s="607"/>
      <c r="B51" s="604">
        <f t="shared" si="7"/>
        <v>2068</v>
      </c>
      <c r="C51" s="609">
        <f t="shared" si="13"/>
        <v>9.8566995437379505E-4</v>
      </c>
      <c r="D51" s="609">
        <f t="shared" si="13"/>
        <v>8.852678875141382E-7</v>
      </c>
      <c r="E51" s="609">
        <f t="shared" si="13"/>
        <v>4.080643153270345E-7</v>
      </c>
      <c r="F51" s="609">
        <f t="shared" si="13"/>
        <v>2.6837241679199767E-9</v>
      </c>
      <c r="G51" s="609">
        <f t="shared" si="13"/>
        <v>2.4690201943861856E-9</v>
      </c>
      <c r="H51" s="609">
        <f t="shared" si="13"/>
        <v>3.2934296333199023E-9</v>
      </c>
      <c r="I51" s="609">
        <f t="shared" si="13"/>
        <v>9.5315834979510969E-9</v>
      </c>
      <c r="L51" s="608"/>
      <c r="M51" s="609"/>
      <c r="N51" s="609"/>
      <c r="O51" s="609"/>
      <c r="P51" s="609"/>
      <c r="Q51" s="609"/>
      <c r="R51" s="609"/>
      <c r="S51" s="609"/>
    </row>
    <row r="52" spans="1:20" x14ac:dyDescent="0.35">
      <c r="A52" s="607"/>
      <c r="B52" s="604">
        <f t="shared" si="7"/>
        <v>2069</v>
      </c>
      <c r="C52" s="609">
        <f t="shared" si="13"/>
        <v>9.8566995437379505E-4</v>
      </c>
      <c r="D52" s="609">
        <f t="shared" si="13"/>
        <v>8.852678875141382E-7</v>
      </c>
      <c r="E52" s="609">
        <f t="shared" si="13"/>
        <v>4.080643153270345E-7</v>
      </c>
      <c r="F52" s="609">
        <f t="shared" si="13"/>
        <v>2.6837241679199767E-9</v>
      </c>
      <c r="G52" s="609">
        <f t="shared" si="13"/>
        <v>2.4690201943861856E-9</v>
      </c>
      <c r="H52" s="609">
        <f t="shared" si="13"/>
        <v>3.2934296333199023E-9</v>
      </c>
      <c r="I52" s="609">
        <f t="shared" si="13"/>
        <v>9.5315834979510969E-9</v>
      </c>
      <c r="L52" s="608"/>
      <c r="M52" s="609"/>
      <c r="N52" s="609"/>
      <c r="O52" s="609"/>
      <c r="P52" s="609"/>
      <c r="Q52" s="609"/>
      <c r="R52" s="609"/>
      <c r="S52" s="609"/>
    </row>
    <row r="53" spans="1:20" x14ac:dyDescent="0.35">
      <c r="A53" s="607"/>
      <c r="B53" s="604">
        <f t="shared" si="7"/>
        <v>2070</v>
      </c>
      <c r="C53" s="609">
        <f>C52</f>
        <v>9.8566995437379505E-4</v>
      </c>
      <c r="D53" s="609">
        <f t="shared" si="13"/>
        <v>8.852678875141382E-7</v>
      </c>
      <c r="E53" s="609">
        <f t="shared" si="13"/>
        <v>4.080643153270345E-7</v>
      </c>
      <c r="F53" s="609">
        <f t="shared" si="13"/>
        <v>2.6837241679199767E-9</v>
      </c>
      <c r="G53" s="609">
        <f t="shared" si="13"/>
        <v>2.4690201943861856E-9</v>
      </c>
      <c r="H53" s="609">
        <f t="shared" si="13"/>
        <v>3.2934296333199023E-9</v>
      </c>
      <c r="I53" s="609">
        <f t="shared" si="13"/>
        <v>9.5315834979510969E-9</v>
      </c>
      <c r="L53" s="608"/>
      <c r="M53" s="609"/>
      <c r="N53" s="609"/>
      <c r="O53" s="609"/>
      <c r="P53" s="609"/>
      <c r="Q53" s="609"/>
      <c r="R53" s="609"/>
      <c r="S53" s="609"/>
    </row>
    <row r="54" spans="1:20" x14ac:dyDescent="0.35">
      <c r="A54" s="607"/>
      <c r="L54" s="608"/>
      <c r="M54" s="609"/>
      <c r="N54" s="609"/>
      <c r="O54" s="609"/>
      <c r="P54" s="609"/>
      <c r="Q54" s="609"/>
      <c r="R54" s="609"/>
      <c r="S54" s="609"/>
    </row>
    <row r="55" spans="1:20" x14ac:dyDescent="0.35">
      <c r="A55" s="607"/>
      <c r="L55" s="608"/>
      <c r="M55" s="609"/>
      <c r="N55" s="609"/>
      <c r="O55" s="609"/>
      <c r="P55" s="609"/>
      <c r="Q55" s="609"/>
      <c r="R55" s="609"/>
      <c r="S55" s="609"/>
    </row>
    <row r="56" spans="1:20" outlineLevel="1" x14ac:dyDescent="0.35"/>
    <row r="57" spans="1:20" s="610" customFormat="1" outlineLevel="1" x14ac:dyDescent="0.35">
      <c r="A57" s="595"/>
      <c r="B57" s="595" t="s">
        <v>628</v>
      </c>
      <c r="C57" s="600">
        <v>2025</v>
      </c>
      <c r="D57" s="595"/>
      <c r="E57" s="595"/>
      <c r="F57" s="595"/>
      <c r="G57" s="595"/>
      <c r="H57" s="595"/>
      <c r="I57" s="595"/>
      <c r="J57" s="595"/>
      <c r="K57" s="595"/>
      <c r="L57" s="595"/>
      <c r="M57" s="600"/>
      <c r="N57" s="595"/>
      <c r="O57" s="595"/>
      <c r="P57" s="595"/>
      <c r="Q57" s="595"/>
      <c r="R57" s="595"/>
      <c r="S57" s="595"/>
      <c r="T57" s="595"/>
    </row>
    <row r="58" spans="1:20" s="610" customFormat="1" outlineLevel="1" x14ac:dyDescent="0.35">
      <c r="A58" s="595"/>
      <c r="B58" s="595" t="s">
        <v>629</v>
      </c>
      <c r="C58" s="600" t="s">
        <v>120</v>
      </c>
      <c r="D58" s="595"/>
      <c r="E58" s="595"/>
      <c r="F58" s="595"/>
      <c r="G58" s="595"/>
      <c r="H58" s="595"/>
      <c r="I58" s="595"/>
      <c r="J58" s="595"/>
      <c r="K58" s="595"/>
      <c r="L58" s="595"/>
      <c r="M58" s="600"/>
      <c r="N58" s="595"/>
      <c r="O58" s="595"/>
      <c r="P58" s="595"/>
      <c r="Q58" s="595"/>
      <c r="R58" s="595"/>
      <c r="S58" s="595"/>
      <c r="T58" s="595"/>
    </row>
    <row r="59" spans="1:20" s="610" customFormat="1" outlineLevel="1" x14ac:dyDescent="0.35">
      <c r="A59" s="595"/>
      <c r="B59" s="595" t="s">
        <v>630</v>
      </c>
      <c r="C59" s="600" t="s">
        <v>631</v>
      </c>
      <c r="D59" s="595"/>
      <c r="E59" s="595"/>
      <c r="F59" s="595"/>
      <c r="G59" s="595"/>
      <c r="H59" s="595"/>
      <c r="I59" s="595"/>
      <c r="J59" s="595"/>
      <c r="K59"/>
      <c r="L59" s="595"/>
      <c r="M59" s="600"/>
      <c r="N59" s="595"/>
      <c r="O59" s="595"/>
      <c r="P59" s="595"/>
      <c r="Q59" s="595"/>
      <c r="R59" s="595"/>
      <c r="S59" s="595"/>
      <c r="T59" s="595"/>
    </row>
    <row r="60" spans="1:20" s="610" customFormat="1" outlineLevel="1" x14ac:dyDescent="0.35">
      <c r="A60" s="595"/>
      <c r="B60" s="595"/>
      <c r="C60" s="839" t="s">
        <v>632</v>
      </c>
      <c r="D60" s="839"/>
      <c r="E60" s="839"/>
      <c r="F60" s="839"/>
      <c r="G60" s="839"/>
      <c r="H60" s="839"/>
      <c r="I60" s="839"/>
      <c r="J60" s="595"/>
      <c r="K60"/>
      <c r="L60" s="595"/>
      <c r="M60" s="839"/>
      <c r="N60" s="839"/>
      <c r="O60" s="839"/>
      <c r="P60" s="839"/>
      <c r="Q60" s="839"/>
      <c r="R60" s="839"/>
      <c r="S60" s="839"/>
      <c r="T60" s="595"/>
    </row>
    <row r="61" spans="1:20" s="610" customFormat="1" outlineLevel="1" x14ac:dyDescent="0.35">
      <c r="A61" s="595"/>
      <c r="B61" s="596" t="s">
        <v>624</v>
      </c>
      <c r="C61" s="601" t="s">
        <v>633</v>
      </c>
      <c r="D61" s="601" t="s">
        <v>634</v>
      </c>
      <c r="E61" s="601" t="s">
        <v>635</v>
      </c>
      <c r="F61" s="601" t="s">
        <v>636</v>
      </c>
      <c r="G61" s="601" t="s">
        <v>637</v>
      </c>
      <c r="H61" s="601" t="s">
        <v>638</v>
      </c>
      <c r="I61" s="601" t="s">
        <v>639</v>
      </c>
      <c r="J61" s="595"/>
      <c r="K61"/>
      <c r="L61" s="596"/>
      <c r="M61" s="601"/>
      <c r="N61" s="601"/>
      <c r="O61" s="601"/>
      <c r="P61" s="601"/>
      <c r="Q61" s="601"/>
      <c r="R61" s="601"/>
      <c r="S61" s="601"/>
      <c r="T61" s="595"/>
    </row>
    <row r="62" spans="1:20" s="610" customFormat="1" outlineLevel="1" x14ac:dyDescent="0.35">
      <c r="A62" s="595"/>
      <c r="B62" s="595">
        <v>2.5</v>
      </c>
      <c r="C62" s="511">
        <v>4893.58251953125</v>
      </c>
      <c r="D62" s="511">
        <v>10.930268774740387</v>
      </c>
      <c r="E62" s="511">
        <v>21.585191407706549</v>
      </c>
      <c r="F62" s="511">
        <v>0.32410220056772199</v>
      </c>
      <c r="G62" s="511">
        <v>0.29817323898896553</v>
      </c>
      <c r="H62" s="511">
        <v>1.6443674685433476E-2</v>
      </c>
      <c r="I62" s="511">
        <v>0.93364165676757604</v>
      </c>
      <c r="J62" s="595"/>
      <c r="K62"/>
      <c r="L62" s="595"/>
      <c r="M62" s="511"/>
      <c r="N62" s="511"/>
      <c r="O62" s="511"/>
      <c r="P62" s="511"/>
      <c r="Q62" s="511"/>
      <c r="R62" s="511"/>
      <c r="S62" s="511"/>
      <c r="T62" s="595"/>
    </row>
    <row r="63" spans="1:20" s="610" customFormat="1" outlineLevel="1" x14ac:dyDescent="0.35">
      <c r="A63" s="595"/>
      <c r="B63" s="595">
        <v>5</v>
      </c>
      <c r="C63" s="511">
        <v>2881.6775207519495</v>
      </c>
      <c r="D63" s="511">
        <v>6.6349025878589538</v>
      </c>
      <c r="E63" s="511">
        <v>11.881573132937751</v>
      </c>
      <c r="F63" s="511">
        <v>0.17889016796834722</v>
      </c>
      <c r="G63" s="511">
        <v>0.16457841289229647</v>
      </c>
      <c r="H63" s="511">
        <v>9.6805824432521729E-3</v>
      </c>
      <c r="I63" s="511">
        <v>0.5007994500920171</v>
      </c>
      <c r="J63" s="595"/>
      <c r="K63"/>
      <c r="L63" s="595"/>
      <c r="M63" s="511"/>
      <c r="N63" s="511"/>
      <c r="O63" s="511"/>
      <c r="P63" s="511"/>
      <c r="Q63" s="511"/>
      <c r="R63" s="511"/>
      <c r="S63" s="511"/>
      <c r="T63" s="595"/>
    </row>
    <row r="64" spans="1:20" s="610" customFormat="1" outlineLevel="1" x14ac:dyDescent="0.35">
      <c r="A64" s="595"/>
      <c r="B64" s="595">
        <v>10</v>
      </c>
      <c r="C64" s="511">
        <v>1913.1350402832004</v>
      </c>
      <c r="D64" s="511">
        <v>4.2732817982323432</v>
      </c>
      <c r="E64" s="511">
        <v>7.0738227257970507</v>
      </c>
      <c r="F64" s="511">
        <v>0.11382167600095265</v>
      </c>
      <c r="G64" s="511">
        <v>0.10471561946906123</v>
      </c>
      <c r="H64" s="511">
        <v>6.4261523075401731E-3</v>
      </c>
      <c r="I64" s="511">
        <v>0.26872791070491003</v>
      </c>
      <c r="J64" s="595"/>
      <c r="K64"/>
      <c r="L64" s="595"/>
      <c r="M64" s="511"/>
      <c r="N64" s="511"/>
      <c r="O64" s="511"/>
      <c r="P64" s="511"/>
      <c r="Q64" s="511"/>
      <c r="R64" s="511"/>
      <c r="S64" s="511"/>
      <c r="T64" s="595"/>
    </row>
    <row r="65" spans="1:20" s="610" customFormat="1" outlineLevel="1" x14ac:dyDescent="0.35">
      <c r="A65" s="595"/>
      <c r="B65" s="595">
        <v>15</v>
      </c>
      <c r="C65" s="511">
        <v>1685.94750976562</v>
      </c>
      <c r="D65" s="511">
        <v>3.391883491771293</v>
      </c>
      <c r="E65" s="511">
        <v>5.4495301333954522</v>
      </c>
      <c r="F65" s="511">
        <v>9.8865035804919621E-2</v>
      </c>
      <c r="G65" s="511">
        <v>9.0955571387894299E-2</v>
      </c>
      <c r="H65" s="511">
        <v>5.6630249600857436E-3</v>
      </c>
      <c r="I65" s="511">
        <v>0.19141914043575478</v>
      </c>
      <c r="J65" s="595"/>
      <c r="K65"/>
      <c r="L65" s="595"/>
      <c r="M65" s="511"/>
      <c r="N65" s="511"/>
      <c r="O65" s="511"/>
      <c r="P65" s="511"/>
      <c r="Q65" s="511"/>
      <c r="R65" s="511"/>
      <c r="S65" s="511"/>
      <c r="T65" s="595"/>
    </row>
    <row r="66" spans="1:20" s="610" customFormat="1" outlineLevel="1" x14ac:dyDescent="0.35">
      <c r="A66" s="595"/>
      <c r="B66" s="595">
        <v>20</v>
      </c>
      <c r="C66" s="511">
        <v>1526.3820037841756</v>
      </c>
      <c r="D66" s="511">
        <v>2.6806399396154967</v>
      </c>
      <c r="E66" s="511">
        <v>4.3882876703282774</v>
      </c>
      <c r="F66" s="511">
        <v>8.7037790915928531E-2</v>
      </c>
      <c r="G66" s="511">
        <v>8.0074445286299784E-2</v>
      </c>
      <c r="H66" s="511">
        <v>5.126642528921364E-3</v>
      </c>
      <c r="I66" s="511">
        <v>0.14758542203344355</v>
      </c>
      <c r="J66" s="595"/>
      <c r="K66" s="595"/>
      <c r="L66" s="595"/>
      <c r="M66" s="511"/>
      <c r="N66" s="511"/>
      <c r="O66" s="511"/>
      <c r="P66" s="511"/>
      <c r="Q66" s="511"/>
      <c r="R66" s="511"/>
      <c r="S66" s="511"/>
      <c r="T66" s="595"/>
    </row>
    <row r="67" spans="1:20" s="610" customFormat="1" outlineLevel="1" x14ac:dyDescent="0.35">
      <c r="A67" s="595"/>
      <c r="B67" s="595">
        <v>25</v>
      </c>
      <c r="C67" s="511">
        <v>1398.4625091552718</v>
      </c>
      <c r="D67" s="511">
        <v>2.2900834574247675</v>
      </c>
      <c r="E67" s="511">
        <v>3.746247948030935</v>
      </c>
      <c r="F67" s="511">
        <v>7.8956063836812751E-2</v>
      </c>
      <c r="G67" s="511">
        <v>7.2639411257113984E-2</v>
      </c>
      <c r="H67" s="511">
        <v>4.6971450210548903E-3</v>
      </c>
      <c r="I67" s="511">
        <v>0.12325077591231054</v>
      </c>
      <c r="J67" s="595"/>
      <c r="K67" s="595"/>
      <c r="L67" s="595"/>
      <c r="M67" s="511"/>
      <c r="N67" s="511"/>
      <c r="O67" s="511"/>
      <c r="P67" s="511"/>
      <c r="Q67" s="511"/>
      <c r="R67" s="511"/>
      <c r="S67" s="511"/>
      <c r="T67" s="595"/>
    </row>
    <row r="68" spans="1:20" s="610" customFormat="1" outlineLevel="1" x14ac:dyDescent="0.35">
      <c r="A68" s="595"/>
      <c r="B68" s="595">
        <v>30</v>
      </c>
      <c r="C68" s="511">
        <v>1367.3480072021464</v>
      </c>
      <c r="D68" s="511">
        <v>2.0146159113501168</v>
      </c>
      <c r="E68" s="511">
        <v>3.3627807131851988</v>
      </c>
      <c r="F68" s="511">
        <v>7.5123332586372202E-2</v>
      </c>
      <c r="G68" s="511">
        <v>6.9113290606764799E-2</v>
      </c>
      <c r="H68" s="511">
        <v>4.5925375306978787E-3</v>
      </c>
      <c r="I68" s="511">
        <v>0.10955863061826659</v>
      </c>
      <c r="J68" s="595"/>
      <c r="K68" s="595"/>
      <c r="L68" s="595"/>
      <c r="M68" s="511"/>
      <c r="N68" s="511"/>
      <c r="O68" s="511"/>
      <c r="P68" s="511"/>
      <c r="Q68" s="511"/>
      <c r="R68" s="511"/>
      <c r="S68" s="511"/>
      <c r="T68" s="595"/>
    </row>
    <row r="69" spans="1:20" s="610" customFormat="1" outlineLevel="1" x14ac:dyDescent="0.35">
      <c r="A69" s="595"/>
      <c r="B69" s="595">
        <v>35</v>
      </c>
      <c r="C69" s="511">
        <v>1194.9848213195769</v>
      </c>
      <c r="D69" s="511">
        <v>1.653689241851676</v>
      </c>
      <c r="E69" s="511">
        <v>2.6883313334546939</v>
      </c>
      <c r="F69" s="511">
        <v>5.8938633126672087E-2</v>
      </c>
      <c r="G69" s="511">
        <v>5.4223365877987734E-2</v>
      </c>
      <c r="H69" s="511">
        <v>4.0132573922164703E-3</v>
      </c>
      <c r="I69" s="511">
        <v>9.3636403442360377E-2</v>
      </c>
      <c r="J69" s="595"/>
      <c r="K69" s="595"/>
      <c r="L69" s="595"/>
      <c r="M69" s="511"/>
      <c r="N69" s="511"/>
      <c r="O69" s="511"/>
      <c r="P69" s="511"/>
      <c r="Q69" s="511"/>
      <c r="R69" s="511"/>
      <c r="S69" s="511"/>
      <c r="T69" s="595"/>
    </row>
    <row r="70" spans="1:20" s="610" customFormat="1" outlineLevel="1" x14ac:dyDescent="0.35">
      <c r="A70" s="595"/>
      <c r="B70" s="595">
        <v>40</v>
      </c>
      <c r="C70" s="511">
        <v>1171.2872314453118</v>
      </c>
      <c r="D70" s="511">
        <v>1.4759712328668666</v>
      </c>
      <c r="E70" s="511">
        <v>2.3662881529598918</v>
      </c>
      <c r="F70" s="511">
        <v>5.4427554685389373E-2</v>
      </c>
      <c r="G70" s="511">
        <v>5.0073178979800952E-2</v>
      </c>
      <c r="H70" s="511">
        <v>3.9334074826911057E-3</v>
      </c>
      <c r="I70" s="511">
        <v>8.539727190509426E-2</v>
      </c>
      <c r="J70" s="595"/>
      <c r="K70" s="595"/>
      <c r="L70" s="595"/>
      <c r="M70" s="511"/>
      <c r="N70" s="511"/>
      <c r="O70" s="511"/>
      <c r="P70" s="511"/>
      <c r="Q70" s="511"/>
      <c r="R70" s="511"/>
      <c r="S70" s="511"/>
      <c r="T70" s="595"/>
    </row>
    <row r="71" spans="1:20" s="610" customFormat="1" outlineLevel="1" x14ac:dyDescent="0.35">
      <c r="A71" s="595"/>
      <c r="B71" s="595">
        <v>45</v>
      </c>
      <c r="C71" s="511">
        <v>1153.2371368408194</v>
      </c>
      <c r="D71" s="511">
        <v>1.3378738477767895</v>
      </c>
      <c r="E71" s="511">
        <v>2.115699378715358</v>
      </c>
      <c r="F71" s="511">
        <v>5.0931899197166709E-2</v>
      </c>
      <c r="G71" s="511">
        <v>4.6857201639795606E-2</v>
      </c>
      <c r="H71" s="511">
        <v>3.8725825143046629E-3</v>
      </c>
      <c r="I71" s="511">
        <v>7.8973961703013545E-2</v>
      </c>
      <c r="J71" s="595"/>
      <c r="K71" s="595"/>
      <c r="L71" s="595"/>
      <c r="M71" s="511"/>
      <c r="N71" s="511"/>
      <c r="O71" s="511"/>
      <c r="P71" s="511"/>
      <c r="Q71" s="511"/>
      <c r="R71" s="511"/>
      <c r="S71" s="511"/>
      <c r="T71" s="595"/>
    </row>
    <row r="72" spans="1:20" s="610" customFormat="1" outlineLevel="1" x14ac:dyDescent="0.35">
      <c r="A72" s="595"/>
      <c r="B72" s="595">
        <v>50</v>
      </c>
      <c r="C72" s="511">
        <v>1117.6482391357411</v>
      </c>
      <c r="D72" s="511">
        <v>1.2040442876168527</v>
      </c>
      <c r="E72" s="511">
        <v>1.838663357077164</v>
      </c>
      <c r="F72" s="511">
        <v>4.5801651955116512E-2</v>
      </c>
      <c r="G72" s="511">
        <v>4.2137371012358878E-2</v>
      </c>
      <c r="H72" s="511">
        <v>3.7530249683186377E-3</v>
      </c>
      <c r="I72" s="511">
        <v>7.1946004303754182E-2</v>
      </c>
      <c r="J72" s="595"/>
      <c r="K72" s="595"/>
      <c r="L72" s="595"/>
      <c r="M72" s="511"/>
      <c r="N72" s="511"/>
      <c r="O72" s="511"/>
      <c r="P72" s="511"/>
      <c r="Q72" s="511"/>
      <c r="R72" s="511"/>
      <c r="S72" s="511"/>
      <c r="T72" s="595"/>
    </row>
    <row r="73" spans="1:20" s="610" customFormat="1" outlineLevel="1" x14ac:dyDescent="0.35">
      <c r="A73" s="595"/>
      <c r="B73" s="595">
        <v>55</v>
      </c>
      <c r="C73" s="511">
        <v>1079.3940124511694</v>
      </c>
      <c r="D73" s="511">
        <v>1.0877751079387932</v>
      </c>
      <c r="E73" s="511">
        <v>1.5845218209142304</v>
      </c>
      <c r="F73" s="511">
        <v>4.0312643963261459E-2</v>
      </c>
      <c r="G73" s="511">
        <v>3.7087484844960203E-2</v>
      </c>
      <c r="H73" s="511">
        <v>3.624552569817746E-3</v>
      </c>
      <c r="I73" s="511">
        <v>6.5243952558375701E-2</v>
      </c>
      <c r="J73" s="595"/>
      <c r="K73" s="595"/>
      <c r="L73" s="595"/>
      <c r="M73" s="511"/>
      <c r="N73" s="511"/>
      <c r="O73" s="511"/>
      <c r="P73" s="511"/>
      <c r="Q73" s="511"/>
      <c r="R73" s="511"/>
      <c r="S73" s="511"/>
      <c r="T73" s="595"/>
    </row>
    <row r="74" spans="1:20" s="610" customFormat="1" outlineLevel="1" x14ac:dyDescent="0.35">
      <c r="A74" s="595"/>
      <c r="B74" s="595">
        <v>60</v>
      </c>
      <c r="C74" s="511">
        <v>1075.6057739257803</v>
      </c>
      <c r="D74" s="511">
        <v>1.0362231581821093</v>
      </c>
      <c r="E74" s="511">
        <v>1.4967363092873676</v>
      </c>
      <c r="F74" s="511">
        <v>3.7276813032803995E-2</v>
      </c>
      <c r="G74" s="511">
        <v>3.4294574288651319E-2</v>
      </c>
      <c r="H74" s="511">
        <v>3.6115200491622025E-3</v>
      </c>
      <c r="I74" s="511">
        <v>6.0841861253720694E-2</v>
      </c>
      <c r="J74" s="595"/>
      <c r="K74" s="595"/>
      <c r="L74" s="595"/>
      <c r="M74" s="511"/>
      <c r="N74" s="511"/>
      <c r="O74" s="511"/>
      <c r="P74" s="511"/>
      <c r="Q74" s="511"/>
      <c r="R74" s="511"/>
      <c r="S74" s="511"/>
      <c r="T74" s="595"/>
    </row>
    <row r="75" spans="1:20" s="610" customFormat="1" outlineLevel="1" x14ac:dyDescent="0.35">
      <c r="A75" s="595"/>
      <c r="B75" s="595">
        <v>65</v>
      </c>
      <c r="C75" s="511">
        <v>1130.4322662353491</v>
      </c>
      <c r="D75" s="511">
        <v>1.0430204821168423</v>
      </c>
      <c r="E75" s="511">
        <v>1.6197472014755452</v>
      </c>
      <c r="F75" s="511">
        <v>3.8354972726665396E-2</v>
      </c>
      <c r="G75" s="511">
        <v>3.5286486265249488E-2</v>
      </c>
      <c r="H75" s="511">
        <v>3.7957374588586351E-3</v>
      </c>
      <c r="I75" s="511">
        <v>6.0229268507100461E-2</v>
      </c>
      <c r="J75" s="595"/>
      <c r="K75" s="595"/>
      <c r="L75" s="595"/>
      <c r="M75" s="511"/>
      <c r="N75" s="511"/>
      <c r="O75" s="511"/>
      <c r="P75" s="511"/>
      <c r="Q75" s="511"/>
      <c r="R75" s="511"/>
      <c r="S75" s="511"/>
      <c r="T75" s="595"/>
    </row>
    <row r="76" spans="1:20" s="610" customFormat="1" outlineLevel="1" x14ac:dyDescent="0.35">
      <c r="A76" s="595"/>
      <c r="B76" s="595">
        <v>70</v>
      </c>
      <c r="C76" s="511">
        <v>1179.583740234372</v>
      </c>
      <c r="D76" s="511">
        <v>1.0502522482420287</v>
      </c>
      <c r="E76" s="511">
        <v>1.7292439811571936</v>
      </c>
      <c r="F76" s="511">
        <v>3.9336693298537236E-2</v>
      </c>
      <c r="G76" s="511">
        <v>3.6189646110869902E-2</v>
      </c>
      <c r="H76" s="511">
        <v>3.9608999504707702E-3</v>
      </c>
      <c r="I76" s="511">
        <v>5.972109336289555E-2</v>
      </c>
      <c r="J76" s="595"/>
      <c r="K76" s="595"/>
      <c r="L76" s="595"/>
      <c r="M76" s="511"/>
      <c r="N76" s="511"/>
      <c r="O76" s="511"/>
      <c r="P76" s="511"/>
      <c r="Q76" s="511"/>
      <c r="R76" s="511"/>
      <c r="S76" s="511"/>
      <c r="T76" s="595"/>
    </row>
    <row r="77" spans="1:20" s="610" customFormat="1" outlineLevel="1" x14ac:dyDescent="0.35">
      <c r="A77" s="595"/>
      <c r="B77" s="595">
        <v>75</v>
      </c>
      <c r="C77" s="511">
        <v>1229.6279754638672</v>
      </c>
      <c r="D77" s="511">
        <v>1.0670683573116511</v>
      </c>
      <c r="E77" s="511">
        <v>1.847955938152152</v>
      </c>
      <c r="F77" s="511">
        <v>4.0797090419800876E-2</v>
      </c>
      <c r="G77" s="511">
        <v>3.7533164169872117E-2</v>
      </c>
      <c r="H77" s="511">
        <v>4.129137552808965E-3</v>
      </c>
      <c r="I77" s="511">
        <v>6.0737235704436676E-2</v>
      </c>
      <c r="J77" s="595"/>
      <c r="K77" s="595"/>
      <c r="L77" s="595"/>
      <c r="M77" s="511"/>
      <c r="N77" s="511"/>
      <c r="O77" s="511"/>
      <c r="P77" s="511"/>
      <c r="Q77" s="511"/>
      <c r="R77" s="511"/>
      <c r="S77" s="511"/>
      <c r="T77" s="595"/>
    </row>
    <row r="78" spans="1:20" outlineLevel="1" x14ac:dyDescent="0.35"/>
    <row r="79" spans="1:20" outlineLevel="1" x14ac:dyDescent="0.35">
      <c r="B79" s="595" t="s">
        <v>628</v>
      </c>
      <c r="C79" s="600">
        <v>2030</v>
      </c>
      <c r="M79" s="600"/>
    </row>
    <row r="80" spans="1:20" outlineLevel="1" x14ac:dyDescent="0.35">
      <c r="B80" s="595" t="s">
        <v>629</v>
      </c>
      <c r="C80" s="600" t="s">
        <v>120</v>
      </c>
      <c r="M80" s="600"/>
    </row>
    <row r="81" spans="2:19" outlineLevel="1" x14ac:dyDescent="0.35">
      <c r="B81" s="595" t="s">
        <v>630</v>
      </c>
      <c r="C81" s="600" t="s">
        <v>631</v>
      </c>
      <c r="M81" s="600"/>
    </row>
    <row r="82" spans="2:19" outlineLevel="1" x14ac:dyDescent="0.35">
      <c r="C82" s="839" t="s">
        <v>632</v>
      </c>
      <c r="D82" s="839"/>
      <c r="E82" s="839"/>
      <c r="F82" s="839"/>
      <c r="G82" s="839"/>
      <c r="H82" s="839"/>
      <c r="I82" s="839"/>
      <c r="M82" s="839"/>
      <c r="N82" s="839"/>
      <c r="O82" s="839"/>
      <c r="P82" s="839"/>
      <c r="Q82" s="839"/>
      <c r="R82" s="839"/>
      <c r="S82" s="839"/>
    </row>
    <row r="83" spans="2:19" outlineLevel="1" x14ac:dyDescent="0.35">
      <c r="B83" s="596" t="s">
        <v>624</v>
      </c>
      <c r="C83" s="601" t="s">
        <v>633</v>
      </c>
      <c r="D83" s="601" t="s">
        <v>634</v>
      </c>
      <c r="E83" s="601" t="s">
        <v>635</v>
      </c>
      <c r="F83" s="601" t="s">
        <v>636</v>
      </c>
      <c r="G83" s="601" t="s">
        <v>637</v>
      </c>
      <c r="H83" s="601" t="s">
        <v>638</v>
      </c>
      <c r="I83" s="601" t="s">
        <v>639</v>
      </c>
      <c r="L83" s="596"/>
      <c r="M83" s="601"/>
      <c r="N83" s="601"/>
      <c r="O83" s="601"/>
      <c r="P83" s="601"/>
      <c r="Q83" s="601"/>
      <c r="R83" s="601"/>
      <c r="S83" s="601"/>
    </row>
    <row r="84" spans="2:19" outlineLevel="1" x14ac:dyDescent="0.35">
      <c r="B84" s="595">
        <v>2.5</v>
      </c>
      <c r="C84">
        <v>4426.0824584960919</v>
      </c>
      <c r="D84">
        <v>9.9049912537447788</v>
      </c>
      <c r="E84">
        <v>15.226703081512806</v>
      </c>
      <c r="F84">
        <v>0.14020318724214995</v>
      </c>
      <c r="G84">
        <v>0.12898649345152063</v>
      </c>
      <c r="H84">
        <v>1.4825125224888274E-2</v>
      </c>
      <c r="I84">
        <v>0.54223611264023897</v>
      </c>
      <c r="M84"/>
      <c r="N84"/>
      <c r="O84"/>
      <c r="P84"/>
      <c r="Q84"/>
      <c r="R84"/>
      <c r="S84"/>
    </row>
    <row r="85" spans="2:19" outlineLevel="1" x14ac:dyDescent="0.35">
      <c r="B85" s="595">
        <v>5</v>
      </c>
      <c r="C85">
        <v>2611.0025024414026</v>
      </c>
      <c r="D85">
        <v>6.0660109909949789</v>
      </c>
      <c r="E85">
        <v>8.4230584980686931</v>
      </c>
      <c r="F85">
        <v>7.8787956852465757E-2</v>
      </c>
      <c r="G85">
        <v>7.2484718519262872E-2</v>
      </c>
      <c r="H85">
        <v>8.7445301469415235E-3</v>
      </c>
      <c r="I85">
        <v>0.28814857476390854</v>
      </c>
      <c r="M85"/>
      <c r="N85"/>
      <c r="O85"/>
      <c r="P85"/>
      <c r="Q85"/>
      <c r="R85"/>
      <c r="S85"/>
    </row>
    <row r="86" spans="2:19" outlineLevel="1" x14ac:dyDescent="0.35">
      <c r="B86" s="595">
        <v>10</v>
      </c>
      <c r="C86">
        <v>1731.6900329589801</v>
      </c>
      <c r="D86">
        <v>3.960397634655231</v>
      </c>
      <c r="E86">
        <v>4.9655937608331397</v>
      </c>
      <c r="F86">
        <v>5.0481425336329211E-2</v>
      </c>
      <c r="G86">
        <v>4.6442758321063531E-2</v>
      </c>
      <c r="H86">
        <v>5.7993699447251804E-3</v>
      </c>
      <c r="I86">
        <v>0.15412100695539199</v>
      </c>
      <c r="M86"/>
      <c r="N86"/>
      <c r="O86"/>
      <c r="P86"/>
      <c r="Q86"/>
      <c r="R86"/>
      <c r="S86"/>
    </row>
    <row r="87" spans="2:19" outlineLevel="1" x14ac:dyDescent="0.35">
      <c r="B87" s="595">
        <v>15</v>
      </c>
      <c r="C87">
        <v>1526.2122497558566</v>
      </c>
      <c r="D87">
        <v>3.1547582802595522</v>
      </c>
      <c r="E87">
        <v>3.7619792803889092</v>
      </c>
      <c r="F87">
        <v>4.2998455173801575E-2</v>
      </c>
      <c r="G87">
        <v>3.9558485266752486E-2</v>
      </c>
      <c r="H87">
        <v>5.1111574866808908E-3</v>
      </c>
      <c r="I87">
        <v>0.11086200684076133</v>
      </c>
      <c r="M87"/>
      <c r="N87"/>
      <c r="O87"/>
      <c r="P87"/>
      <c r="Q87"/>
      <c r="R87"/>
      <c r="S87"/>
    </row>
    <row r="88" spans="2:19" outlineLevel="1" x14ac:dyDescent="0.35">
      <c r="B88" s="595">
        <v>20</v>
      </c>
      <c r="C88">
        <v>1384.8277282714828</v>
      </c>
      <c r="D88">
        <v>2.481221963069395</v>
      </c>
      <c r="E88">
        <v>2.9891301770694505</v>
      </c>
      <c r="F88">
        <v>3.7203824496827999E-2</v>
      </c>
      <c r="G88">
        <v>3.4227391122840282E-2</v>
      </c>
      <c r="H88">
        <v>4.6374649973586124E-3</v>
      </c>
      <c r="I88">
        <v>8.453686244320098E-2</v>
      </c>
      <c r="M88"/>
      <c r="N88"/>
      <c r="O88"/>
      <c r="P88"/>
      <c r="Q88"/>
      <c r="R88"/>
      <c r="S88"/>
    </row>
    <row r="89" spans="2:19" outlineLevel="1" x14ac:dyDescent="0.35">
      <c r="B89" s="595">
        <v>25</v>
      </c>
      <c r="C89">
        <v>1269.7617340087884</v>
      </c>
      <c r="D89">
        <v>2.116833963751557</v>
      </c>
      <c r="E89">
        <v>2.5268753031268671</v>
      </c>
      <c r="F89">
        <v>3.3404368616174844E-2</v>
      </c>
      <c r="G89">
        <v>3.0731932027265423E-2</v>
      </c>
      <c r="H89">
        <v>4.2521849391050637E-3</v>
      </c>
      <c r="I89">
        <v>7.0661508536431938E-2</v>
      </c>
      <c r="M89"/>
      <c r="N89"/>
      <c r="O89"/>
      <c r="P89"/>
      <c r="Q89"/>
      <c r="R89"/>
      <c r="S89"/>
    </row>
    <row r="90" spans="2:19" outlineLevel="1" x14ac:dyDescent="0.35">
      <c r="B90" s="595">
        <v>30</v>
      </c>
      <c r="C90">
        <v>1241.6646881103488</v>
      </c>
      <c r="D90">
        <v>1.8517114998830924</v>
      </c>
      <c r="E90">
        <v>2.2381412350514394</v>
      </c>
      <c r="F90">
        <v>3.1680458865594063E-2</v>
      </c>
      <c r="G90">
        <v>2.9145932407118331E-2</v>
      </c>
      <c r="H90">
        <v>4.1580399265512798E-3</v>
      </c>
      <c r="I90">
        <v>6.3210883294232162E-2</v>
      </c>
      <c r="M90"/>
      <c r="N90"/>
      <c r="O90"/>
      <c r="P90"/>
      <c r="Q90"/>
      <c r="R90"/>
      <c r="S90"/>
    </row>
    <row r="91" spans="2:19" outlineLevel="1" x14ac:dyDescent="0.35">
      <c r="B91" s="595">
        <v>35</v>
      </c>
      <c r="C91">
        <v>1085.0084991455058</v>
      </c>
      <c r="D91">
        <v>1.4938667245150974</v>
      </c>
      <c r="E91">
        <v>1.7546584194642461</v>
      </c>
      <c r="F91">
        <v>2.488966839155176E-2</v>
      </c>
      <c r="G91">
        <v>2.2898416122188764E-2</v>
      </c>
      <c r="H91">
        <v>3.6333075258880828E-3</v>
      </c>
      <c r="I91">
        <v>5.1334938209038179E-2</v>
      </c>
      <c r="M91"/>
      <c r="N91"/>
      <c r="O91"/>
      <c r="P91"/>
      <c r="Q91"/>
      <c r="R91"/>
      <c r="S91"/>
    </row>
    <row r="92" spans="2:19" outlineLevel="1" x14ac:dyDescent="0.35">
      <c r="B92" s="595">
        <v>40</v>
      </c>
      <c r="C92">
        <v>1066.0314788818355</v>
      </c>
      <c r="D92">
        <v>1.3204223485081421</v>
      </c>
      <c r="E92">
        <v>1.5153935343259914</v>
      </c>
      <c r="F92">
        <v>2.2912361673661445E-2</v>
      </c>
      <c r="G92">
        <v>2.107930454076265E-2</v>
      </c>
      <c r="H92">
        <v>3.5696150735020555E-3</v>
      </c>
      <c r="I92">
        <v>4.6392919903155361E-2</v>
      </c>
      <c r="M92"/>
      <c r="N92"/>
      <c r="O92"/>
      <c r="P92"/>
      <c r="Q92"/>
      <c r="R92"/>
      <c r="S92"/>
    </row>
    <row r="93" spans="2:19" outlineLevel="1" x14ac:dyDescent="0.35">
      <c r="B93" s="595">
        <v>45</v>
      </c>
      <c r="C93">
        <v>1051.6242523193359</v>
      </c>
      <c r="D93">
        <v>1.1856230219127584</v>
      </c>
      <c r="E93">
        <v>1.3291636632202397</v>
      </c>
      <c r="F93">
        <v>2.1382425882620702E-2</v>
      </c>
      <c r="G93">
        <v>1.9671779358759477E-2</v>
      </c>
      <c r="H93">
        <v>3.5212574875913521E-3</v>
      </c>
      <c r="I93">
        <v>4.2533603147603523E-2</v>
      </c>
      <c r="M93"/>
      <c r="N93"/>
      <c r="O93"/>
      <c r="P93"/>
      <c r="Q93"/>
      <c r="R93"/>
      <c r="S93"/>
    </row>
    <row r="94" spans="2:19" outlineLevel="1" x14ac:dyDescent="0.35">
      <c r="B94" s="595">
        <v>50</v>
      </c>
      <c r="C94">
        <v>1018.3200225830051</v>
      </c>
      <c r="D94">
        <v>1.0524202538072096</v>
      </c>
      <c r="E94">
        <v>1.1185997494176243</v>
      </c>
      <c r="F94">
        <v>1.9336101453518467E-2</v>
      </c>
      <c r="G94">
        <v>1.7789156176149838E-2</v>
      </c>
      <c r="H94">
        <v>3.4097325406037258E-3</v>
      </c>
      <c r="I94">
        <v>3.7545668310485732E-2</v>
      </c>
      <c r="M94"/>
      <c r="N94"/>
      <c r="O94"/>
      <c r="P94"/>
      <c r="Q94"/>
      <c r="R94"/>
      <c r="S94"/>
    </row>
    <row r="95" spans="2:19" outlineLevel="1" x14ac:dyDescent="0.35">
      <c r="B95" s="595">
        <v>55</v>
      </c>
      <c r="C95">
        <v>981.72175598144395</v>
      </c>
      <c r="D95">
        <v>0.93607536598574126</v>
      </c>
      <c r="E95">
        <v>0.9240914674301125</v>
      </c>
      <c r="F95">
        <v>1.7202972463564899E-2</v>
      </c>
      <c r="G95">
        <v>1.5826666916836922E-2</v>
      </c>
      <c r="H95">
        <v>3.2872075098566659E-3</v>
      </c>
      <c r="I95">
        <v>3.252276228158732E-2</v>
      </c>
      <c r="M95"/>
      <c r="N95"/>
      <c r="O95"/>
      <c r="P95"/>
      <c r="Q95"/>
      <c r="R95"/>
      <c r="S95"/>
    </row>
    <row r="96" spans="2:19" outlineLevel="1" x14ac:dyDescent="0.35">
      <c r="B96" s="595">
        <v>60</v>
      </c>
      <c r="C96">
        <v>980.48147583007699</v>
      </c>
      <c r="D96">
        <v>0.88895451155258076</v>
      </c>
      <c r="E96">
        <v>0.85989711223373555</v>
      </c>
      <c r="F96">
        <v>1.6011427331250098E-2</v>
      </c>
      <c r="G96">
        <v>1.4730474285897762E-2</v>
      </c>
      <c r="H96">
        <v>3.2829024130478445E-3</v>
      </c>
      <c r="I96">
        <v>2.9836452347808455E-2</v>
      </c>
      <c r="M96"/>
      <c r="N96"/>
      <c r="O96"/>
      <c r="P96"/>
      <c r="Q96"/>
      <c r="R96"/>
      <c r="S96"/>
    </row>
    <row r="97" spans="2:19" outlineLevel="1" x14ac:dyDescent="0.35">
      <c r="B97" s="595">
        <v>65</v>
      </c>
      <c r="C97">
        <v>1029.496505737302</v>
      </c>
      <c r="D97">
        <v>0.8984946854616257</v>
      </c>
      <c r="E97">
        <v>0.93920677296409527</v>
      </c>
      <c r="F97">
        <v>1.6477922370540882E-2</v>
      </c>
      <c r="G97">
        <v>1.5159670561843034E-2</v>
      </c>
      <c r="H97">
        <v>3.4470399841666178E-3</v>
      </c>
      <c r="I97">
        <v>3.0771654623094877E-2</v>
      </c>
      <c r="M97"/>
      <c r="N97"/>
      <c r="O97"/>
      <c r="P97"/>
      <c r="Q97"/>
      <c r="R97"/>
      <c r="S97"/>
    </row>
    <row r="98" spans="2:19" outlineLevel="1" x14ac:dyDescent="0.35">
      <c r="B98" s="595">
        <v>70</v>
      </c>
      <c r="C98">
        <v>1073.4289855957031</v>
      </c>
      <c r="D98">
        <v>0.90804430335992659</v>
      </c>
      <c r="E98">
        <v>1.0097497393435308</v>
      </c>
      <c r="F98">
        <v>1.6909807251067777E-2</v>
      </c>
      <c r="G98">
        <v>1.5556987462332436E-2</v>
      </c>
      <c r="H98">
        <v>3.5941725363954858E-3</v>
      </c>
      <c r="I98">
        <v>3.1594961183145587E-2</v>
      </c>
      <c r="M98"/>
      <c r="N98"/>
      <c r="O98"/>
      <c r="P98"/>
      <c r="Q98"/>
      <c r="R98"/>
      <c r="S98"/>
    </row>
    <row r="99" spans="2:19" outlineLevel="1" x14ac:dyDescent="0.35">
      <c r="B99" s="595">
        <v>75</v>
      </c>
      <c r="C99">
        <v>1119.8035125732408</v>
      </c>
      <c r="D99">
        <v>0.92720435315277072</v>
      </c>
      <c r="E99">
        <v>1.0879666917317059</v>
      </c>
      <c r="F99">
        <v>1.7461345036281224E-2</v>
      </c>
      <c r="G99">
        <v>1.606439339229836E-2</v>
      </c>
      <c r="H99">
        <v>3.749482450075445E-3</v>
      </c>
      <c r="I99">
        <v>3.3419298415537875E-2</v>
      </c>
      <c r="M99"/>
      <c r="N99"/>
      <c r="O99"/>
      <c r="P99"/>
      <c r="Q99"/>
      <c r="R99"/>
      <c r="S99"/>
    </row>
    <row r="100" spans="2:19" outlineLevel="1" x14ac:dyDescent="0.35"/>
    <row r="101" spans="2:19" outlineLevel="1" x14ac:dyDescent="0.35">
      <c r="B101" s="595" t="s">
        <v>628</v>
      </c>
      <c r="C101" s="600">
        <v>2040</v>
      </c>
      <c r="M101" s="600"/>
    </row>
    <row r="102" spans="2:19" outlineLevel="1" x14ac:dyDescent="0.35">
      <c r="B102" s="595" t="s">
        <v>629</v>
      </c>
      <c r="C102" s="600" t="s">
        <v>120</v>
      </c>
      <c r="M102" s="600"/>
    </row>
    <row r="103" spans="2:19" outlineLevel="1" x14ac:dyDescent="0.35">
      <c r="B103" s="595" t="s">
        <v>630</v>
      </c>
      <c r="C103" s="600" t="s">
        <v>631</v>
      </c>
      <c r="M103" s="600"/>
    </row>
    <row r="104" spans="2:19" outlineLevel="1" x14ac:dyDescent="0.35">
      <c r="C104" s="839" t="s">
        <v>632</v>
      </c>
      <c r="D104" s="839"/>
      <c r="E104" s="839"/>
      <c r="F104" s="839"/>
      <c r="G104" s="839"/>
      <c r="H104" s="839"/>
      <c r="I104" s="839"/>
      <c r="M104" s="839"/>
      <c r="N104" s="839"/>
      <c r="O104" s="839"/>
      <c r="P104" s="839"/>
      <c r="Q104" s="839"/>
      <c r="R104" s="839"/>
      <c r="S104" s="839"/>
    </row>
    <row r="105" spans="2:19" outlineLevel="1" x14ac:dyDescent="0.35">
      <c r="B105" s="596" t="s">
        <v>624</v>
      </c>
      <c r="C105" s="601" t="s">
        <v>633</v>
      </c>
      <c r="D105" s="601" t="s">
        <v>634</v>
      </c>
      <c r="E105" s="601" t="s">
        <v>635</v>
      </c>
      <c r="F105" s="601" t="s">
        <v>636</v>
      </c>
      <c r="G105" s="601" t="s">
        <v>637</v>
      </c>
      <c r="H105" s="601" t="s">
        <v>638</v>
      </c>
      <c r="I105" s="601" t="s">
        <v>639</v>
      </c>
      <c r="L105" s="596"/>
      <c r="M105" s="601"/>
      <c r="N105" s="601"/>
      <c r="O105" s="601"/>
      <c r="P105" s="601"/>
      <c r="Q105" s="601"/>
      <c r="R105" s="601"/>
      <c r="S105" s="601"/>
    </row>
    <row r="106" spans="2:19" outlineLevel="1" x14ac:dyDescent="0.35">
      <c r="B106" s="595">
        <v>2.5</v>
      </c>
      <c r="C106">
        <v>4126.3849487304669</v>
      </c>
      <c r="D106">
        <v>9.1757639806019036</v>
      </c>
      <c r="E106">
        <v>8.3792465116129886</v>
      </c>
      <c r="F106">
        <v>3.7357927300035912E-2</v>
      </c>
      <c r="G106">
        <v>3.436917287763204E-2</v>
      </c>
      <c r="H106">
        <v>1.3794147875159942E-2</v>
      </c>
      <c r="I106">
        <v>0.31159948167623897</v>
      </c>
      <c r="M106"/>
      <c r="N106"/>
      <c r="O106"/>
      <c r="P106"/>
      <c r="Q106"/>
      <c r="R106"/>
      <c r="S106"/>
    </row>
    <row r="107" spans="2:19" outlineLevel="1" x14ac:dyDescent="0.35">
      <c r="B107" s="595">
        <v>5</v>
      </c>
      <c r="C107">
        <v>2423.3999938964826</v>
      </c>
      <c r="D107">
        <v>5.6372622948547315</v>
      </c>
      <c r="E107">
        <v>4.7835851249692434</v>
      </c>
      <c r="F107">
        <v>2.221060832380313E-2</v>
      </c>
      <c r="G107">
        <v>2.0433699857676336E-2</v>
      </c>
      <c r="H107">
        <v>8.1010624999180176E-3</v>
      </c>
      <c r="I107">
        <v>0.16232831933302744</v>
      </c>
      <c r="M107"/>
      <c r="N107"/>
      <c r="O107"/>
      <c r="P107"/>
      <c r="Q107"/>
      <c r="R107"/>
      <c r="S107"/>
    </row>
    <row r="108" spans="2:19" outlineLevel="1" x14ac:dyDescent="0.35">
      <c r="B108" s="595">
        <v>10</v>
      </c>
      <c r="C108">
        <v>1597.3297424316372</v>
      </c>
      <c r="D108">
        <v>3.7052149097726148</v>
      </c>
      <c r="E108">
        <v>2.6879181853582792</v>
      </c>
      <c r="F108">
        <v>1.4864284192299222E-2</v>
      </c>
      <c r="G108">
        <v>1.3675111815246017E-2</v>
      </c>
      <c r="H108">
        <v>5.3396299481391863E-3</v>
      </c>
      <c r="I108">
        <v>8.6079122047522091E-2</v>
      </c>
      <c r="M108"/>
      <c r="N108"/>
      <c r="O108"/>
      <c r="P108"/>
      <c r="Q108"/>
      <c r="R108"/>
      <c r="S108"/>
    </row>
    <row r="109" spans="2:19" outlineLevel="1" x14ac:dyDescent="0.35">
      <c r="B109" s="595">
        <v>15</v>
      </c>
      <c r="C109">
        <v>1407.2147674560531</v>
      </c>
      <c r="D109">
        <v>2.9578221417177648</v>
      </c>
      <c r="E109">
        <v>1.9726188976492243</v>
      </c>
      <c r="F109">
        <v>1.2499705266236534E-2</v>
      </c>
      <c r="G109">
        <v>1.1499695789097999E-2</v>
      </c>
      <c r="H109">
        <v>4.7040500212460696E-3</v>
      </c>
      <c r="I109">
        <v>6.2888817861676174E-2</v>
      </c>
      <c r="M109"/>
      <c r="N109"/>
      <c r="O109"/>
      <c r="P109"/>
      <c r="Q109"/>
      <c r="R109"/>
      <c r="S109"/>
    </row>
    <row r="110" spans="2:19" outlineLevel="1" x14ac:dyDescent="0.35">
      <c r="B110" s="595">
        <v>20</v>
      </c>
      <c r="C110">
        <v>1278.4317626953084</v>
      </c>
      <c r="D110">
        <v>2.3176255637008527</v>
      </c>
      <c r="E110">
        <v>1.5617465923569371</v>
      </c>
      <c r="F110">
        <v>1.0353034362196901E-2</v>
      </c>
      <c r="G110">
        <v>9.5247613389801474E-3</v>
      </c>
      <c r="H110">
        <v>4.2734948801808007E-3</v>
      </c>
      <c r="I110">
        <v>4.7219658590620363E-2</v>
      </c>
      <c r="M110"/>
      <c r="N110"/>
      <c r="O110"/>
      <c r="P110"/>
      <c r="Q110"/>
      <c r="R110"/>
      <c r="S110"/>
    </row>
    <row r="111" spans="2:19" outlineLevel="1" x14ac:dyDescent="0.35">
      <c r="B111" s="595">
        <v>25</v>
      </c>
      <c r="C111">
        <v>1173.7500152587872</v>
      </c>
      <c r="D111">
        <v>1.9810760635773432</v>
      </c>
      <c r="E111">
        <v>1.3371029238696761</v>
      </c>
      <c r="F111">
        <v>9.2212216404732022E-3</v>
      </c>
      <c r="G111">
        <v>8.4834974404657156E-3</v>
      </c>
      <c r="H111">
        <v>3.9235724834725226E-3</v>
      </c>
      <c r="I111">
        <v>3.9518253444839432E-2</v>
      </c>
      <c r="M111"/>
      <c r="N111"/>
      <c r="O111"/>
      <c r="P111"/>
      <c r="Q111"/>
      <c r="R111"/>
      <c r="S111"/>
    </row>
    <row r="112" spans="2:19" outlineLevel="1" x14ac:dyDescent="0.35">
      <c r="B112" s="595">
        <v>30</v>
      </c>
      <c r="C112">
        <v>1148.867492675779</v>
      </c>
      <c r="D112">
        <v>1.7288727294362591</v>
      </c>
      <c r="E112">
        <v>1.1850013680523226</v>
      </c>
      <c r="F112">
        <v>8.709332538273877E-3</v>
      </c>
      <c r="G112">
        <v>8.0125623426283675E-3</v>
      </c>
      <c r="H112">
        <v>3.840372548438603E-3</v>
      </c>
      <c r="I112">
        <v>3.5582204363890868E-2</v>
      </c>
      <c r="M112"/>
      <c r="N112"/>
      <c r="O112"/>
      <c r="P112"/>
      <c r="Q112"/>
      <c r="R112"/>
      <c r="S112"/>
    </row>
    <row r="113" spans="2:19" outlineLevel="1" x14ac:dyDescent="0.35">
      <c r="B113" s="595">
        <v>35</v>
      </c>
      <c r="C113">
        <v>1006.7474822998042</v>
      </c>
      <c r="D113">
        <v>1.3809155119015464</v>
      </c>
      <c r="E113">
        <v>0.91827208721224163</v>
      </c>
      <c r="F113">
        <v>6.7983015032950763E-3</v>
      </c>
      <c r="G113">
        <v>6.2544194588553996E-3</v>
      </c>
      <c r="H113">
        <v>3.3652624697424406E-3</v>
      </c>
      <c r="I113">
        <v>2.6717300879681667E-2</v>
      </c>
      <c r="M113"/>
      <c r="N113"/>
      <c r="O113"/>
      <c r="P113"/>
      <c r="Q113"/>
      <c r="R113"/>
      <c r="S113"/>
    </row>
    <row r="114" spans="2:19" outlineLevel="1" x14ac:dyDescent="0.35">
      <c r="B114" s="595">
        <v>40</v>
      </c>
      <c r="C114">
        <v>993.3437347412098</v>
      </c>
      <c r="D114">
        <v>1.2157456746026569</v>
      </c>
      <c r="E114">
        <v>0.80269297831546016</v>
      </c>
      <c r="F114">
        <v>6.312474386504615E-3</v>
      </c>
      <c r="G114">
        <v>5.8074574662896287E-3</v>
      </c>
      <c r="H114">
        <v>3.3204100327566197E-3</v>
      </c>
      <c r="I114">
        <v>2.3784380729921353E-2</v>
      </c>
      <c r="M114"/>
      <c r="N114"/>
      <c r="O114"/>
      <c r="P114"/>
      <c r="Q114"/>
      <c r="R114"/>
      <c r="S114"/>
    </row>
    <row r="115" spans="2:19" outlineLevel="1" x14ac:dyDescent="0.35">
      <c r="B115" s="595">
        <v>45</v>
      </c>
      <c r="C115">
        <v>983.24899291991949</v>
      </c>
      <c r="D115">
        <v>1.0873278644212372</v>
      </c>
      <c r="E115">
        <v>0.71249445199646044</v>
      </c>
      <c r="F115">
        <v>5.9395760545157784E-3</v>
      </c>
      <c r="G115">
        <v>5.4643917392240803E-3</v>
      </c>
      <c r="H115">
        <v>3.2866299734450851E-3</v>
      </c>
      <c r="I115">
        <v>2.1483445427293173E-2</v>
      </c>
      <c r="M115"/>
      <c r="N115"/>
      <c r="O115"/>
      <c r="P115"/>
      <c r="Q115"/>
      <c r="R115"/>
      <c r="S115"/>
    </row>
    <row r="116" spans="2:19" outlineLevel="1" x14ac:dyDescent="0.35">
      <c r="B116" s="595">
        <v>50</v>
      </c>
      <c r="C116">
        <v>953.18426513671614</v>
      </c>
      <c r="D116">
        <v>0.95742102461371914</v>
      </c>
      <c r="E116">
        <v>0.60091768271377011</v>
      </c>
      <c r="F116">
        <v>5.5081699720176342E-3</v>
      </c>
      <c r="G116">
        <v>5.067497626441762E-3</v>
      </c>
      <c r="H116">
        <v>3.1861300230957533E-3</v>
      </c>
      <c r="I116">
        <v>1.7943658454896576E-2</v>
      </c>
      <c r="M116"/>
      <c r="N116"/>
      <c r="O116"/>
      <c r="P116"/>
      <c r="Q116"/>
      <c r="R116"/>
      <c r="S116"/>
    </row>
    <row r="117" spans="2:19" outlineLevel="1" x14ac:dyDescent="0.35">
      <c r="B117" s="595">
        <v>55</v>
      </c>
      <c r="C117">
        <v>919.21400451659986</v>
      </c>
      <c r="D117">
        <v>0.84324730143270621</v>
      </c>
      <c r="E117">
        <v>0.49581545843466246</v>
      </c>
      <c r="F117">
        <v>5.0763499093591192E-3</v>
      </c>
      <c r="G117">
        <v>4.6702272775291888E-3</v>
      </c>
      <c r="H117">
        <v>3.072585037443783E-3</v>
      </c>
      <c r="I117">
        <v>1.4233645066269642E-2</v>
      </c>
      <c r="M117"/>
      <c r="N117"/>
      <c r="O117"/>
      <c r="P117"/>
      <c r="Q117"/>
      <c r="R117"/>
      <c r="S117"/>
    </row>
    <row r="118" spans="2:19" outlineLevel="1" x14ac:dyDescent="0.35">
      <c r="B118" s="595">
        <v>60</v>
      </c>
      <c r="C118">
        <v>921.30751037597349</v>
      </c>
      <c r="D118">
        <v>0.80130929964798081</v>
      </c>
      <c r="E118">
        <v>0.46751740777653999</v>
      </c>
      <c r="F118">
        <v>4.8429082926304511E-3</v>
      </c>
      <c r="G118">
        <v>4.4554611413332159E-3</v>
      </c>
      <c r="H118">
        <v>3.0795275233685901E-3</v>
      </c>
      <c r="I118">
        <v>1.263647824816868E-2</v>
      </c>
      <c r="M118"/>
      <c r="N118"/>
      <c r="O118"/>
      <c r="P118"/>
      <c r="Q118"/>
      <c r="R118"/>
      <c r="S118"/>
    </row>
    <row r="119" spans="2:19" outlineLevel="1" x14ac:dyDescent="0.35">
      <c r="B119" s="595">
        <v>65</v>
      </c>
      <c r="C119">
        <v>967.51296997070199</v>
      </c>
      <c r="D119">
        <v>0.8134923081051928</v>
      </c>
      <c r="E119">
        <v>0.5124563843965001</v>
      </c>
      <c r="F119">
        <v>5.0118191556975909E-3</v>
      </c>
      <c r="G119">
        <v>4.6108615088087347E-3</v>
      </c>
      <c r="H119">
        <v>3.233955067116765E-3</v>
      </c>
      <c r="I119">
        <v>1.4183191553456674E-2</v>
      </c>
      <c r="M119"/>
      <c r="N119"/>
      <c r="O119"/>
      <c r="P119"/>
      <c r="Q119"/>
      <c r="R119"/>
      <c r="S119"/>
    </row>
    <row r="120" spans="2:19" outlineLevel="1" x14ac:dyDescent="0.35">
      <c r="B120" s="595">
        <v>70</v>
      </c>
      <c r="C120">
        <v>1008.9117431640602</v>
      </c>
      <c r="D120">
        <v>0.8252167605914984</v>
      </c>
      <c r="E120">
        <v>0.55226707546171294</v>
      </c>
      <c r="F120">
        <v>5.1685897233255639E-3</v>
      </c>
      <c r="G120">
        <v>4.7550898598274181E-3</v>
      </c>
      <c r="H120">
        <v>3.372319974005218E-3</v>
      </c>
      <c r="I120">
        <v>1.5536465760305818E-2</v>
      </c>
      <c r="M120"/>
      <c r="N120"/>
      <c r="O120"/>
      <c r="P120"/>
      <c r="Q120"/>
      <c r="R120"/>
      <c r="S120"/>
    </row>
    <row r="121" spans="2:19" outlineLevel="1" x14ac:dyDescent="0.35">
      <c r="B121" s="595">
        <v>75</v>
      </c>
      <c r="C121">
        <v>1054.5429992675747</v>
      </c>
      <c r="D121">
        <v>0.84756861028290476</v>
      </c>
      <c r="E121">
        <v>0.59730915502041104</v>
      </c>
      <c r="F121">
        <v>5.3021641879240624E-3</v>
      </c>
      <c r="G121">
        <v>4.8779769385873736E-3</v>
      </c>
      <c r="H121">
        <v>3.5248298663645948E-3</v>
      </c>
      <c r="I121">
        <v>1.7541210991112135E-2</v>
      </c>
      <c r="M121"/>
      <c r="N121"/>
      <c r="O121"/>
      <c r="P121"/>
      <c r="Q121"/>
      <c r="R121"/>
      <c r="S121"/>
    </row>
    <row r="122" spans="2:19" outlineLevel="1" x14ac:dyDescent="0.35"/>
    <row r="123" spans="2:19" outlineLevel="1" x14ac:dyDescent="0.35">
      <c r="B123" s="595" t="s">
        <v>628</v>
      </c>
      <c r="C123" s="600">
        <v>2050</v>
      </c>
    </row>
    <row r="124" spans="2:19" outlineLevel="1" x14ac:dyDescent="0.35">
      <c r="B124" s="595" t="s">
        <v>629</v>
      </c>
      <c r="C124" s="600" t="s">
        <v>120</v>
      </c>
    </row>
    <row r="125" spans="2:19" outlineLevel="1" x14ac:dyDescent="0.35">
      <c r="B125" s="595" t="s">
        <v>630</v>
      </c>
      <c r="C125" s="600" t="s">
        <v>631</v>
      </c>
    </row>
    <row r="126" spans="2:19" outlineLevel="1" x14ac:dyDescent="0.35">
      <c r="C126" s="839" t="s">
        <v>632</v>
      </c>
      <c r="D126" s="839"/>
      <c r="E126" s="839"/>
      <c r="F126" s="839"/>
      <c r="G126" s="839"/>
      <c r="H126" s="839"/>
      <c r="I126" s="839"/>
    </row>
    <row r="127" spans="2:19" outlineLevel="1" x14ac:dyDescent="0.35">
      <c r="B127" s="596" t="s">
        <v>624</v>
      </c>
      <c r="C127" s="601" t="s">
        <v>633</v>
      </c>
      <c r="D127" s="601" t="s">
        <v>634</v>
      </c>
      <c r="E127" s="601" t="s">
        <v>635</v>
      </c>
      <c r="F127" s="601" t="s">
        <v>636</v>
      </c>
      <c r="G127" s="601" t="s">
        <v>637</v>
      </c>
      <c r="H127" s="601" t="s">
        <v>638</v>
      </c>
      <c r="I127" s="601" t="s">
        <v>639</v>
      </c>
    </row>
    <row r="128" spans="2:19" outlineLevel="1" x14ac:dyDescent="0.35">
      <c r="B128" s="595">
        <v>2.5</v>
      </c>
      <c r="C128">
        <v>4035.6399536132799</v>
      </c>
      <c r="D128">
        <v>8.867105620780384</v>
      </c>
      <c r="E128">
        <v>6.429345609678415</v>
      </c>
      <c r="F128">
        <v>1.4245777980249797E-2</v>
      </c>
      <c r="G128">
        <v>1.3106080459692715E-2</v>
      </c>
      <c r="H128">
        <v>1.3484372291713922E-2</v>
      </c>
      <c r="I128">
        <v>0.24639679906249462</v>
      </c>
    </row>
    <row r="129" spans="2:9" outlineLevel="1" x14ac:dyDescent="0.35">
      <c r="B129" s="595">
        <v>5</v>
      </c>
      <c r="C129">
        <v>2364.2749938964803</v>
      </c>
      <c r="D129">
        <v>5.4409307104797318</v>
      </c>
      <c r="E129">
        <v>3.7334008356920059</v>
      </c>
      <c r="F129">
        <v>9.7741616446000885E-3</v>
      </c>
      <c r="G129">
        <v>8.9922027591455584E-3</v>
      </c>
      <c r="H129">
        <v>7.8997925156727346E-3</v>
      </c>
      <c r="I129">
        <v>0.12723190172982818</v>
      </c>
    </row>
    <row r="130" spans="2:9" outlineLevel="1" x14ac:dyDescent="0.35">
      <c r="B130" s="595">
        <v>10</v>
      </c>
      <c r="C130">
        <v>1554.3097534179658</v>
      </c>
      <c r="D130">
        <v>3.5774782743537763</v>
      </c>
      <c r="E130">
        <v>2.0388337141484909</v>
      </c>
      <c r="F130">
        <v>7.2091290433036149E-3</v>
      </c>
      <c r="G130">
        <v>6.632378666836301E-3</v>
      </c>
      <c r="H130">
        <v>5.1934476359747307E-3</v>
      </c>
      <c r="I130">
        <v>6.708215813705462E-2</v>
      </c>
    </row>
    <row r="131" spans="2:9" outlineLevel="1" x14ac:dyDescent="0.35">
      <c r="B131" s="595">
        <v>15</v>
      </c>
      <c r="C131">
        <v>1369.7292327880832</v>
      </c>
      <c r="D131">
        <v>2.8569139726023365</v>
      </c>
      <c r="E131">
        <v>1.4719583311816649</v>
      </c>
      <c r="F131">
        <v>6.2782166787655989E-3</v>
      </c>
      <c r="G131">
        <v>5.7759406656714384E-3</v>
      </c>
      <c r="H131">
        <v>4.5767049887217538E-3</v>
      </c>
      <c r="I131">
        <v>4.9252411114139194E-2</v>
      </c>
    </row>
    <row r="132" spans="2:9" outlineLevel="1" x14ac:dyDescent="0.35">
      <c r="B132" s="595">
        <v>20</v>
      </c>
      <c r="C132">
        <v>1245.0015106201163</v>
      </c>
      <c r="D132">
        <v>2.2362972919936484</v>
      </c>
      <c r="E132">
        <v>1.1668149819561198</v>
      </c>
      <c r="F132">
        <v>5.0581668929225972E-3</v>
      </c>
      <c r="G132">
        <v>4.6534997288745147E-3</v>
      </c>
      <c r="H132">
        <v>4.1599425603635531E-3</v>
      </c>
      <c r="I132">
        <v>3.6533813850837697E-2</v>
      </c>
    </row>
    <row r="133" spans="2:9" outlineLevel="1" x14ac:dyDescent="0.35">
      <c r="B133" s="595">
        <v>25</v>
      </c>
      <c r="C133">
        <v>1143.9129943847638</v>
      </c>
      <c r="D133">
        <v>1.9138276516232482</v>
      </c>
      <c r="E133">
        <v>1.0097901007629813</v>
      </c>
      <c r="F133">
        <v>4.4896486301695378E-3</v>
      </c>
      <c r="G133">
        <v>4.1304639164536595E-3</v>
      </c>
      <c r="H133">
        <v>3.8221774157136653E-3</v>
      </c>
      <c r="I133">
        <v>3.0674979698233046E-2</v>
      </c>
    </row>
    <row r="134" spans="2:9" outlineLevel="1" x14ac:dyDescent="0.35">
      <c r="B134" s="595">
        <v>30</v>
      </c>
      <c r="C134">
        <v>1120.3055114746069</v>
      </c>
      <c r="D134">
        <v>1.6700535165682573</v>
      </c>
      <c r="E134">
        <v>0.8974638115578244</v>
      </c>
      <c r="F134">
        <v>4.264325025815194E-3</v>
      </c>
      <c r="G134">
        <v>3.9231651612681136E-3</v>
      </c>
      <c r="H134">
        <v>3.7433049874380209E-3</v>
      </c>
      <c r="I134">
        <v>2.7648772877000682E-2</v>
      </c>
    </row>
    <row r="135" spans="2:9" outlineLevel="1" x14ac:dyDescent="0.35">
      <c r="B135" s="595">
        <v>35</v>
      </c>
      <c r="C135">
        <v>983.18074035644395</v>
      </c>
      <c r="D135">
        <v>1.331960994032666</v>
      </c>
      <c r="E135">
        <v>0.6944284705059528</v>
      </c>
      <c r="F135">
        <v>3.2448531958380019E-3</v>
      </c>
      <c r="G135">
        <v>2.9852574973574459E-3</v>
      </c>
      <c r="H135">
        <v>3.2851224823389159E-3</v>
      </c>
      <c r="I135">
        <v>1.9710090961780183E-2</v>
      </c>
    </row>
    <row r="136" spans="2:9" outlineLevel="1" x14ac:dyDescent="0.35">
      <c r="B136" s="595">
        <v>40</v>
      </c>
      <c r="C136">
        <v>971.8554840087877</v>
      </c>
      <c r="D136">
        <v>1.1726880044279779</v>
      </c>
      <c r="E136">
        <v>0.61447971813322377</v>
      </c>
      <c r="F136">
        <v>3.0545338795491205E-3</v>
      </c>
      <c r="G136">
        <v>2.8101605416850309E-3</v>
      </c>
      <c r="H136">
        <v>3.2472775201313172E-3</v>
      </c>
      <c r="I136">
        <v>1.7310264096522553E-2</v>
      </c>
    </row>
    <row r="137" spans="2:9" outlineLevel="1" x14ac:dyDescent="0.35">
      <c r="B137" s="595">
        <v>45</v>
      </c>
      <c r="C137">
        <v>963.36225891113111</v>
      </c>
      <c r="D137">
        <v>1.048835218932022</v>
      </c>
      <c r="E137">
        <v>0.55194443872551291</v>
      </c>
      <c r="F137">
        <v>2.9090693982425308E-3</v>
      </c>
      <c r="G137">
        <v>2.6763313856008543E-3</v>
      </c>
      <c r="H137">
        <v>3.2189099874813084E-3</v>
      </c>
      <c r="I137">
        <v>1.5422440097609043E-2</v>
      </c>
    </row>
    <row r="138" spans="2:9" outlineLevel="1" x14ac:dyDescent="0.35">
      <c r="B138" s="595">
        <v>50</v>
      </c>
      <c r="C138">
        <v>934.55172729492017</v>
      </c>
      <c r="D138">
        <v>0.92246271695784898</v>
      </c>
      <c r="E138">
        <v>0.46987716782132272</v>
      </c>
      <c r="F138">
        <v>2.7226068787058431E-3</v>
      </c>
      <c r="G138">
        <v>2.5047905478459099E-3</v>
      </c>
      <c r="H138">
        <v>3.1226374558173072E-3</v>
      </c>
      <c r="I138">
        <v>1.2295120595581431E-2</v>
      </c>
    </row>
    <row r="139" spans="2:9" outlineLevel="1" x14ac:dyDescent="0.35">
      <c r="B139" s="595">
        <v>55</v>
      </c>
      <c r="C139">
        <v>901.61651611327909</v>
      </c>
      <c r="D139">
        <v>0.81115096382472673</v>
      </c>
      <c r="E139">
        <v>0.3916942590331014</v>
      </c>
      <c r="F139">
        <v>2.5342274425383918E-3</v>
      </c>
      <c r="G139">
        <v>2.3314826401019612E-3</v>
      </c>
      <c r="H139">
        <v>3.0125949997454847E-3</v>
      </c>
      <c r="I139">
        <v>8.9718374165385952E-3</v>
      </c>
    </row>
    <row r="140" spans="2:9" outlineLevel="1" x14ac:dyDescent="0.35">
      <c r="B140" s="595">
        <v>60</v>
      </c>
      <c r="C140">
        <v>905.18150329589491</v>
      </c>
      <c r="D140">
        <v>0.77197618259242484</v>
      </c>
      <c r="E140">
        <v>0.37340516991798667</v>
      </c>
      <c r="F140">
        <v>2.486881407833149E-3</v>
      </c>
      <c r="G140">
        <v>2.2879248224398846E-3</v>
      </c>
      <c r="H140">
        <v>3.0245050729718003E-3</v>
      </c>
      <c r="I140">
        <v>7.6916658990739562E-3</v>
      </c>
    </row>
    <row r="141" spans="2:9" outlineLevel="1" x14ac:dyDescent="0.35">
      <c r="B141" s="595">
        <v>65</v>
      </c>
      <c r="C141">
        <v>950.96798706054574</v>
      </c>
      <c r="D141">
        <v>0.78520620484004922</v>
      </c>
      <c r="E141">
        <v>0.40849711160762997</v>
      </c>
      <c r="F141">
        <v>2.6564616615587446E-3</v>
      </c>
      <c r="G141">
        <v>2.4439377389739929E-3</v>
      </c>
      <c r="H141">
        <v>3.177484963089222E-3</v>
      </c>
      <c r="I141">
        <v>9.3938661098036079E-3</v>
      </c>
    </row>
    <row r="142" spans="2:9" outlineLevel="1" x14ac:dyDescent="0.35">
      <c r="B142" s="595">
        <v>70</v>
      </c>
      <c r="C142">
        <v>991.92749023437307</v>
      </c>
      <c r="D142">
        <v>0.79777446727348078</v>
      </c>
      <c r="E142">
        <v>0.43951697511192778</v>
      </c>
      <c r="F142">
        <v>2.8083172398964923E-3</v>
      </c>
      <c r="G142">
        <v>2.5836468638544769E-3</v>
      </c>
      <c r="H142">
        <v>3.3143549226224344E-3</v>
      </c>
      <c r="I142">
        <v>1.0883826498684329E-2</v>
      </c>
    </row>
    <row r="143" spans="2:9" outlineLevel="1" x14ac:dyDescent="0.35">
      <c r="B143" s="595">
        <v>75</v>
      </c>
      <c r="C143">
        <v>1037.715744018554</v>
      </c>
      <c r="D143">
        <v>0.82133838301206019</v>
      </c>
      <c r="E143">
        <v>0.47527917467823444</v>
      </c>
      <c r="F143">
        <v>2.9256234554395559E-3</v>
      </c>
      <c r="G143">
        <v>2.6915653381820396E-3</v>
      </c>
      <c r="H143">
        <v>3.4673399059101896E-3</v>
      </c>
      <c r="I143">
        <v>1.2923028415343618E-2</v>
      </c>
    </row>
    <row r="144" spans="2:9" outlineLevel="1" x14ac:dyDescent="0.35"/>
    <row r="145" spans="2:9" outlineLevel="1" x14ac:dyDescent="0.35">
      <c r="B145" s="595" t="s">
        <v>628</v>
      </c>
      <c r="C145" s="600">
        <v>2060</v>
      </c>
    </row>
    <row r="146" spans="2:9" outlineLevel="1" x14ac:dyDescent="0.35">
      <c r="B146" s="595" t="s">
        <v>629</v>
      </c>
      <c r="C146" s="600" t="s">
        <v>120</v>
      </c>
    </row>
    <row r="147" spans="2:9" outlineLevel="1" x14ac:dyDescent="0.35">
      <c r="B147" s="595" t="s">
        <v>630</v>
      </c>
      <c r="C147" s="600" t="s">
        <v>631</v>
      </c>
    </row>
    <row r="148" spans="2:9" outlineLevel="1" x14ac:dyDescent="0.35">
      <c r="C148" s="839" t="s">
        <v>632</v>
      </c>
      <c r="D148" s="839"/>
      <c r="E148" s="839"/>
      <c r="F148" s="839"/>
      <c r="G148" s="839"/>
      <c r="H148" s="839"/>
      <c r="I148" s="839"/>
    </row>
    <row r="149" spans="2:9" outlineLevel="1" x14ac:dyDescent="0.35">
      <c r="B149" s="596" t="s">
        <v>624</v>
      </c>
      <c r="C149" s="601" t="s">
        <v>633</v>
      </c>
      <c r="D149" s="601" t="s">
        <v>634</v>
      </c>
      <c r="E149" s="601" t="s">
        <v>635</v>
      </c>
      <c r="F149" s="601" t="s">
        <v>636</v>
      </c>
      <c r="G149" s="601" t="s">
        <v>637</v>
      </c>
      <c r="H149" s="601" t="s">
        <v>638</v>
      </c>
      <c r="I149" s="601" t="s">
        <v>639</v>
      </c>
    </row>
    <row r="150" spans="2:9" outlineLevel="1" x14ac:dyDescent="0.35">
      <c r="B150" s="595">
        <v>2.5</v>
      </c>
      <c r="C150">
        <v>3992.4025268554674</v>
      </c>
      <c r="D150">
        <v>8.7535241109667119</v>
      </c>
      <c r="E150">
        <v>5.9292809486869338</v>
      </c>
      <c r="F150">
        <v>1.3039148332097711E-2</v>
      </c>
      <c r="G150">
        <v>1.1995990359480386E-2</v>
      </c>
      <c r="H150">
        <v>1.3339897617697698E-2</v>
      </c>
      <c r="I150">
        <v>0.24169311313698857</v>
      </c>
    </row>
    <row r="151" spans="2:9" outlineLevel="1" x14ac:dyDescent="0.35">
      <c r="B151" s="595">
        <v>5</v>
      </c>
      <c r="C151">
        <v>2335.3975219726553</v>
      </c>
      <c r="D151">
        <v>5.3584301669100061</v>
      </c>
      <c r="E151">
        <v>3.4555108463409807</v>
      </c>
      <c r="F151">
        <v>9.0883285128029161E-3</v>
      </c>
      <c r="G151">
        <v>8.3612354146680116E-3</v>
      </c>
      <c r="H151">
        <v>7.8033250756561513E-3</v>
      </c>
      <c r="I151">
        <v>0.12461673804045795</v>
      </c>
    </row>
    <row r="152" spans="2:9" outlineLevel="1" x14ac:dyDescent="0.35">
      <c r="B152" s="595">
        <v>10</v>
      </c>
      <c r="C152">
        <v>1533.4577331542964</v>
      </c>
      <c r="D152">
        <v>3.5183773871414061</v>
      </c>
      <c r="E152">
        <v>1.8726421481742337</v>
      </c>
      <c r="F152">
        <v>6.7635749385317433E-3</v>
      </c>
      <c r="G152">
        <v>6.2224696049497617E-3</v>
      </c>
      <c r="H152">
        <v>5.1237774896435379E-3</v>
      </c>
      <c r="I152">
        <v>6.5547824924806208E-2</v>
      </c>
    </row>
    <row r="153" spans="2:9" outlineLevel="1" x14ac:dyDescent="0.35">
      <c r="B153" s="595">
        <v>15</v>
      </c>
      <c r="C153">
        <v>1352.0159912109373</v>
      </c>
      <c r="D153">
        <v>2.8100206078374836</v>
      </c>
      <c r="E153">
        <v>1.3475458261145801</v>
      </c>
      <c r="F153">
        <v>5.9286129059046254E-3</v>
      </c>
      <c r="G153">
        <v>5.4543094906875896E-3</v>
      </c>
      <c r="H153">
        <v>4.5175250270403878E-3</v>
      </c>
      <c r="I153">
        <v>4.808266169038683E-2</v>
      </c>
    </row>
    <row r="154" spans="2:9" outlineLevel="1" x14ac:dyDescent="0.35">
      <c r="B154" s="595">
        <v>20</v>
      </c>
      <c r="C154">
        <v>1229.2975158691384</v>
      </c>
      <c r="D154">
        <v>2.2000216123512897</v>
      </c>
      <c r="E154">
        <v>1.0693337272436989</v>
      </c>
      <c r="F154">
        <v>4.7726573398847397E-3</v>
      </c>
      <c r="G154">
        <v>4.3908327554333893E-3</v>
      </c>
      <c r="H154">
        <v>4.1074799373745849E-3</v>
      </c>
      <c r="I154">
        <v>3.5604636692823925E-2</v>
      </c>
    </row>
    <row r="155" spans="2:9" outlineLevel="1" x14ac:dyDescent="0.35">
      <c r="B155" s="595">
        <v>25</v>
      </c>
      <c r="C155">
        <v>1130.126480102537</v>
      </c>
      <c r="D155">
        <v>1.8845784700049504</v>
      </c>
      <c r="E155">
        <v>0.92965103470464561</v>
      </c>
      <c r="F155">
        <v>4.2490245065493993E-3</v>
      </c>
      <c r="G155">
        <v>3.9090884379220352E-3</v>
      </c>
      <c r="H155">
        <v>3.7761225248686926E-3</v>
      </c>
      <c r="I155">
        <v>2.9881299311455153E-2</v>
      </c>
    </row>
    <row r="156" spans="2:9" outlineLevel="1" x14ac:dyDescent="0.35">
      <c r="B156" s="595">
        <v>30</v>
      </c>
      <c r="C156">
        <v>1107.2266311645481</v>
      </c>
      <c r="D156">
        <v>1.6458458093711639</v>
      </c>
      <c r="E156">
        <v>0.82802262808035954</v>
      </c>
      <c r="F156">
        <v>4.0406843900200268E-3</v>
      </c>
      <c r="G156">
        <v>3.7174179529131327E-3</v>
      </c>
      <c r="H156">
        <v>3.6995976115576849E-3</v>
      </c>
      <c r="I156">
        <v>2.688251009828941E-2</v>
      </c>
    </row>
    <row r="157" spans="2:9" outlineLevel="1" x14ac:dyDescent="0.35">
      <c r="B157" s="595">
        <v>35</v>
      </c>
      <c r="C157">
        <v>972.77474975585847</v>
      </c>
      <c r="D157">
        <v>1.3136870268656902</v>
      </c>
      <c r="E157">
        <v>0.64158408643129206</v>
      </c>
      <c r="F157">
        <v>3.0728003239062175E-3</v>
      </c>
      <c r="G157">
        <v>2.82696555925099E-3</v>
      </c>
      <c r="H157">
        <v>3.2503524562343903E-3</v>
      </c>
      <c r="I157">
        <v>1.9144042447805935E-2</v>
      </c>
    </row>
    <row r="158" spans="2:9" outlineLevel="1" x14ac:dyDescent="0.35">
      <c r="B158" s="595">
        <v>40</v>
      </c>
      <c r="C158">
        <v>962.42527770996071</v>
      </c>
      <c r="D158">
        <v>1.1579471413944558</v>
      </c>
      <c r="E158">
        <v>0.57077342558090938</v>
      </c>
      <c r="F158">
        <v>2.9073269472519279E-3</v>
      </c>
      <c r="G158">
        <v>2.6747337401715711E-3</v>
      </c>
      <c r="H158">
        <v>3.2157724199350871E-3</v>
      </c>
      <c r="I158">
        <v>1.6802008222214192E-2</v>
      </c>
    </row>
    <row r="159" spans="2:9" outlineLevel="1" x14ac:dyDescent="0.35">
      <c r="B159" s="595">
        <v>45</v>
      </c>
      <c r="C159">
        <v>954.69000244140432</v>
      </c>
      <c r="D159">
        <v>1.0368109338854732</v>
      </c>
      <c r="E159">
        <v>0.51535764395884975</v>
      </c>
      <c r="F159">
        <v>2.7809148604305248E-3</v>
      </c>
      <c r="G159">
        <v>2.5584319413454121E-3</v>
      </c>
      <c r="H159">
        <v>3.1899199821054901E-3</v>
      </c>
      <c r="I159">
        <v>1.4959109610856541E-2</v>
      </c>
    </row>
    <row r="160" spans="2:9" outlineLevel="1" x14ac:dyDescent="0.35">
      <c r="B160" s="595">
        <v>50</v>
      </c>
      <c r="C160">
        <v>926.52700805663937</v>
      </c>
      <c r="D160">
        <v>0.91258846884841049</v>
      </c>
      <c r="E160">
        <v>0.4411673652641635</v>
      </c>
      <c r="F160">
        <v>2.6094566532464058E-3</v>
      </c>
      <c r="G160">
        <v>2.4006952152255613E-3</v>
      </c>
      <c r="H160">
        <v>3.0958274728618506E-3</v>
      </c>
      <c r="I160">
        <v>1.1898789023120995E-2</v>
      </c>
    </row>
    <row r="161" spans="2:13" outlineLevel="1" x14ac:dyDescent="0.35">
      <c r="B161" s="595">
        <v>55</v>
      </c>
      <c r="C161">
        <v>894.18499755859125</v>
      </c>
      <c r="D161">
        <v>0.80310174853451344</v>
      </c>
      <c r="E161">
        <v>0.3701898258999558</v>
      </c>
      <c r="F161">
        <v>2.4346343092744838E-3</v>
      </c>
      <c r="G161">
        <v>2.2398580850442316E-3</v>
      </c>
      <c r="H161">
        <v>2.9877499619033153E-3</v>
      </c>
      <c r="I161">
        <v>8.6469095755887654E-3</v>
      </c>
    </row>
    <row r="162" spans="2:13" outlineLevel="1" x14ac:dyDescent="0.35">
      <c r="B162" s="595">
        <v>60</v>
      </c>
      <c r="C162">
        <v>898.69151306152105</v>
      </c>
      <c r="D162">
        <v>0.76529768796552777</v>
      </c>
      <c r="E162">
        <v>0.35466865880857729</v>
      </c>
      <c r="F162">
        <v>2.4002716272200041E-3</v>
      </c>
      <c r="G162">
        <v>2.208240883113883E-3</v>
      </c>
      <c r="H162">
        <v>3.0028125620447025E-3</v>
      </c>
      <c r="I162">
        <v>7.4005522585025374E-3</v>
      </c>
    </row>
    <row r="163" spans="2:13" outlineLevel="1" x14ac:dyDescent="0.35">
      <c r="B163" s="595">
        <v>65</v>
      </c>
      <c r="C163">
        <v>944.49775695800611</v>
      </c>
      <c r="D163">
        <v>0.77901573494352516</v>
      </c>
      <c r="E163">
        <v>0.38771692704284477</v>
      </c>
      <c r="F163">
        <v>2.5741660980784743E-3</v>
      </c>
      <c r="G163">
        <v>2.3682250002892086E-3</v>
      </c>
      <c r="H163">
        <v>3.1558700138702915E-3</v>
      </c>
      <c r="I163">
        <v>9.0615410210830114E-3</v>
      </c>
    </row>
    <row r="164" spans="2:13" outlineLevel="1" x14ac:dyDescent="0.35">
      <c r="B164" s="595">
        <v>70</v>
      </c>
      <c r="C164">
        <v>985.42425537109079</v>
      </c>
      <c r="D164">
        <v>0.7919761983346213</v>
      </c>
      <c r="E164">
        <v>0.41690196822645431</v>
      </c>
      <c r="F164">
        <v>2.7292147273314483E-3</v>
      </c>
      <c r="G164">
        <v>2.5108686640145043E-3</v>
      </c>
      <c r="H164">
        <v>3.2926124986261056E-3</v>
      </c>
      <c r="I164">
        <v>1.051481830836562E-2</v>
      </c>
    </row>
    <row r="165" spans="2:13" outlineLevel="1" x14ac:dyDescent="0.35">
      <c r="B165" s="595">
        <v>75</v>
      </c>
      <c r="C165">
        <v>1031.2719726562461</v>
      </c>
      <c r="D165">
        <v>0.81606647473898652</v>
      </c>
      <c r="E165">
        <v>0.45046971194545854</v>
      </c>
      <c r="F165">
        <v>2.8478153671862498E-3</v>
      </c>
      <c r="G165">
        <v>2.6199817177712209E-3</v>
      </c>
      <c r="H165">
        <v>3.4458074951544356E-3</v>
      </c>
      <c r="I165">
        <v>1.2499325207443217E-2</v>
      </c>
      <c r="M165" s="600"/>
    </row>
    <row r="166" spans="2:13" outlineLevel="1" x14ac:dyDescent="0.35">
      <c r="C166"/>
      <c r="D166"/>
      <c r="E166"/>
      <c r="F166"/>
      <c r="G166"/>
      <c r="H166"/>
      <c r="I166"/>
      <c r="M166" s="600"/>
    </row>
    <row r="167" spans="2:13" outlineLevel="1" x14ac:dyDescent="0.35"/>
    <row r="168" spans="2:13" outlineLevel="1" x14ac:dyDescent="0.35"/>
    <row r="169" spans="2:13" outlineLevel="1" x14ac:dyDescent="0.35"/>
    <row r="170" spans="2:13" outlineLevel="1" x14ac:dyDescent="0.35"/>
    <row r="171" spans="2:13" outlineLevel="1" x14ac:dyDescent="0.35"/>
    <row r="172" spans="2:13" outlineLevel="1" x14ac:dyDescent="0.35"/>
    <row r="173" spans="2:13" outlineLevel="1" x14ac:dyDescent="0.35"/>
    <row r="174" spans="2:13" outlineLevel="1" x14ac:dyDescent="0.35"/>
  </sheetData>
  <mergeCells count="10">
    <mergeCell ref="C5:I5"/>
    <mergeCell ref="M5:S5"/>
    <mergeCell ref="C60:I60"/>
    <mergeCell ref="M60:S60"/>
    <mergeCell ref="C126:I126"/>
    <mergeCell ref="C148:I148"/>
    <mergeCell ref="C82:I82"/>
    <mergeCell ref="M82:S82"/>
    <mergeCell ref="C104:I104"/>
    <mergeCell ref="M104:S104"/>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CD2F2-A135-495C-976D-3D6F39BA1DDA}">
  <sheetPr codeName="Sheet21">
    <tabColor theme="3" tint="0.39997558519241921"/>
  </sheetPr>
  <dimension ref="A1:CY35"/>
  <sheetViews>
    <sheetView topLeftCell="BX1" workbookViewId="0">
      <selection activeCell="CX10" sqref="CX10"/>
    </sheetView>
  </sheetViews>
  <sheetFormatPr defaultColWidth="8.453125" defaultRowHeight="14.5" x14ac:dyDescent="0.35"/>
  <cols>
    <col min="1" max="1" width="3.81640625" style="330" bestFit="1" customWidth="1"/>
    <col min="2" max="2" width="50.1796875" style="330" bestFit="1" customWidth="1"/>
    <col min="3" max="52" width="6" style="330" bestFit="1" customWidth="1"/>
    <col min="53" max="64" width="7" style="330" bestFit="1" customWidth="1"/>
    <col min="65" max="65" width="6" style="330" bestFit="1" customWidth="1"/>
    <col min="66" max="90" width="7" style="330" bestFit="1" customWidth="1"/>
    <col min="91" max="91" width="4.54296875" style="330" bestFit="1" customWidth="1"/>
    <col min="92" max="99" width="7.1796875" style="330" bestFit="1" customWidth="1"/>
    <col min="100" max="100" width="8.453125" style="330"/>
    <col min="101" max="101" width="13" style="330" customWidth="1"/>
    <col min="102" max="16384" width="8.453125" style="330"/>
  </cols>
  <sheetData>
    <row r="1" spans="1:103" ht="18.5" x14ac:dyDescent="0.45">
      <c r="A1" s="840" t="s">
        <v>32</v>
      </c>
      <c r="B1" s="841"/>
      <c r="C1" s="841"/>
      <c r="D1" s="841"/>
      <c r="E1" s="841"/>
      <c r="F1" s="841"/>
      <c r="G1" s="841"/>
      <c r="H1" s="841"/>
      <c r="I1" s="841"/>
      <c r="J1" s="841"/>
      <c r="K1" s="841"/>
      <c r="L1" s="841"/>
      <c r="M1" s="841"/>
      <c r="N1" s="841"/>
      <c r="O1" s="841"/>
      <c r="P1" s="841"/>
      <c r="Q1" s="841"/>
      <c r="R1" s="841"/>
      <c r="S1" s="841"/>
      <c r="T1" s="841"/>
      <c r="U1" s="841"/>
      <c r="V1" s="841"/>
      <c r="W1" s="841"/>
      <c r="X1" s="841"/>
      <c r="Y1" s="841"/>
      <c r="Z1" s="841"/>
      <c r="AA1" s="841"/>
      <c r="AB1" s="841"/>
      <c r="AC1" s="841"/>
      <c r="AD1" s="841"/>
      <c r="AE1" s="841"/>
      <c r="AF1" s="841"/>
      <c r="AG1" s="841"/>
      <c r="AH1" s="841"/>
      <c r="AI1" s="841"/>
      <c r="AJ1" s="841"/>
      <c r="AK1" s="841"/>
      <c r="AL1" s="841"/>
      <c r="AM1" s="841"/>
      <c r="AN1" s="841"/>
      <c r="AO1" s="841"/>
      <c r="AP1" s="841"/>
      <c r="AQ1" s="841"/>
      <c r="AR1" s="841"/>
      <c r="AS1" s="841"/>
      <c r="AT1" s="841"/>
      <c r="AU1" s="841"/>
      <c r="AV1" s="841"/>
      <c r="AW1" s="841"/>
      <c r="AX1" s="841"/>
      <c r="AY1" s="841"/>
      <c r="AZ1" s="841"/>
      <c r="BA1" s="841"/>
      <c r="BB1" s="841"/>
      <c r="BC1" s="841"/>
      <c r="BD1" s="841"/>
      <c r="BE1" s="841"/>
      <c r="BF1" s="841"/>
      <c r="BG1" s="841"/>
      <c r="BH1" s="841"/>
      <c r="BI1" s="841"/>
      <c r="BJ1" s="841"/>
      <c r="BK1" s="841"/>
      <c r="BL1" s="841"/>
      <c r="BM1" s="841"/>
      <c r="BN1" s="841"/>
      <c r="BO1" s="841"/>
      <c r="BP1" s="841"/>
      <c r="BQ1" s="841"/>
      <c r="BR1" s="841"/>
      <c r="BS1" s="841"/>
      <c r="BT1" s="841"/>
      <c r="BU1" s="841"/>
      <c r="BV1" s="841"/>
      <c r="BW1" s="841"/>
      <c r="BX1" s="841"/>
      <c r="BY1" s="841"/>
      <c r="BZ1" s="841"/>
      <c r="CA1" s="841"/>
      <c r="CB1" s="841"/>
      <c r="CC1" s="841"/>
      <c r="CD1" s="841"/>
      <c r="CE1" s="841"/>
      <c r="CF1" s="841"/>
      <c r="CG1" s="841"/>
      <c r="CH1" s="841"/>
      <c r="CI1" s="841"/>
      <c r="CJ1" s="841"/>
      <c r="CK1" s="841"/>
      <c r="CL1" s="841"/>
      <c r="CM1" s="841"/>
      <c r="CN1" s="841"/>
      <c r="CO1" s="841"/>
      <c r="CP1" s="841"/>
      <c r="CQ1" s="841"/>
      <c r="CR1" s="841"/>
      <c r="CS1" s="841"/>
      <c r="CT1" s="841"/>
      <c r="CU1" s="841"/>
    </row>
    <row r="2" spans="1:103" ht="17" x14ac:dyDescent="0.4">
      <c r="A2" s="842" t="s">
        <v>640</v>
      </c>
      <c r="B2" s="841"/>
      <c r="C2" s="841"/>
      <c r="D2" s="841"/>
      <c r="E2" s="841"/>
      <c r="F2" s="841"/>
      <c r="G2" s="841"/>
      <c r="H2" s="841"/>
      <c r="I2" s="841"/>
      <c r="J2" s="841"/>
      <c r="K2" s="841"/>
      <c r="L2" s="841"/>
      <c r="M2" s="841"/>
      <c r="N2" s="841"/>
      <c r="O2" s="841"/>
      <c r="P2" s="841"/>
      <c r="Q2" s="841"/>
      <c r="R2" s="841"/>
      <c r="S2" s="841"/>
      <c r="T2" s="841"/>
      <c r="U2" s="841"/>
      <c r="V2" s="841"/>
      <c r="W2" s="841"/>
      <c r="X2" s="841"/>
      <c r="Y2" s="841"/>
      <c r="Z2" s="841"/>
      <c r="AA2" s="841"/>
      <c r="AB2" s="841"/>
      <c r="AC2" s="841"/>
      <c r="AD2" s="841"/>
      <c r="AE2" s="841"/>
      <c r="AF2" s="841"/>
      <c r="AG2" s="841"/>
      <c r="AH2" s="841"/>
      <c r="AI2" s="841"/>
      <c r="AJ2" s="841"/>
      <c r="AK2" s="841"/>
      <c r="AL2" s="841"/>
      <c r="AM2" s="841"/>
      <c r="AN2" s="841"/>
      <c r="AO2" s="841"/>
      <c r="AP2" s="841"/>
      <c r="AQ2" s="841"/>
      <c r="AR2" s="841"/>
      <c r="AS2" s="841"/>
      <c r="AT2" s="841"/>
      <c r="AU2" s="841"/>
      <c r="AV2" s="841"/>
      <c r="AW2" s="841"/>
      <c r="AX2" s="841"/>
      <c r="AY2" s="841"/>
      <c r="AZ2" s="841"/>
      <c r="BA2" s="841"/>
      <c r="BB2" s="841"/>
      <c r="BC2" s="841"/>
      <c r="BD2" s="841"/>
      <c r="BE2" s="841"/>
      <c r="BF2" s="841"/>
      <c r="BG2" s="841"/>
      <c r="BH2" s="841"/>
      <c r="BI2" s="841"/>
      <c r="BJ2" s="841"/>
      <c r="BK2" s="841"/>
      <c r="BL2" s="841"/>
      <c r="BM2" s="841"/>
      <c r="BN2" s="841"/>
      <c r="BO2" s="841"/>
      <c r="BP2" s="841"/>
      <c r="BQ2" s="841"/>
      <c r="BR2" s="841"/>
      <c r="BS2" s="841"/>
      <c r="BT2" s="841"/>
      <c r="BU2" s="841"/>
      <c r="BV2" s="841"/>
      <c r="BW2" s="841"/>
      <c r="BX2" s="841"/>
      <c r="BY2" s="841"/>
      <c r="BZ2" s="841"/>
      <c r="CA2" s="841"/>
      <c r="CB2" s="841"/>
      <c r="CC2" s="841"/>
      <c r="CD2" s="841"/>
      <c r="CE2" s="841"/>
      <c r="CF2" s="841"/>
      <c r="CG2" s="841"/>
      <c r="CH2" s="841"/>
      <c r="CI2" s="841"/>
      <c r="CJ2" s="841"/>
      <c r="CK2" s="841"/>
      <c r="CL2" s="841"/>
      <c r="CM2" s="841"/>
      <c r="CN2" s="841"/>
      <c r="CO2" s="841"/>
      <c r="CP2" s="841"/>
      <c r="CQ2" s="841"/>
      <c r="CR2" s="841"/>
      <c r="CS2" s="841"/>
      <c r="CT2" s="841"/>
      <c r="CU2" s="841"/>
    </row>
    <row r="3" spans="1:103" x14ac:dyDescent="0.35">
      <c r="A3" s="841" t="s">
        <v>641</v>
      </c>
      <c r="B3" s="841"/>
      <c r="C3" s="841"/>
      <c r="D3" s="841"/>
      <c r="E3" s="841"/>
      <c r="F3" s="841"/>
      <c r="G3" s="841"/>
      <c r="H3" s="841"/>
      <c r="I3" s="841"/>
      <c r="J3" s="841"/>
      <c r="K3" s="841"/>
      <c r="L3" s="841"/>
      <c r="M3" s="841"/>
      <c r="N3" s="841"/>
      <c r="O3" s="841"/>
      <c r="P3" s="841"/>
      <c r="Q3" s="841"/>
      <c r="R3" s="841"/>
      <c r="S3" s="841"/>
      <c r="T3" s="841"/>
      <c r="U3" s="841"/>
      <c r="V3" s="841"/>
      <c r="W3" s="841"/>
      <c r="X3" s="841"/>
      <c r="Y3" s="841"/>
      <c r="Z3" s="841"/>
      <c r="AA3" s="841"/>
      <c r="AB3" s="841"/>
      <c r="AC3" s="841"/>
      <c r="AD3" s="841"/>
      <c r="AE3" s="841"/>
      <c r="AF3" s="841"/>
      <c r="AG3" s="841"/>
      <c r="AH3" s="841"/>
      <c r="AI3" s="841"/>
      <c r="AJ3" s="841"/>
      <c r="AK3" s="841"/>
      <c r="AL3" s="841"/>
      <c r="AM3" s="841"/>
      <c r="AN3" s="841"/>
      <c r="AO3" s="841"/>
      <c r="AP3" s="841"/>
      <c r="AQ3" s="841"/>
      <c r="AR3" s="841"/>
      <c r="AS3" s="841"/>
      <c r="AT3" s="841"/>
      <c r="AU3" s="841"/>
      <c r="AV3" s="841"/>
      <c r="AW3" s="841"/>
      <c r="AX3" s="841"/>
      <c r="AY3" s="841"/>
      <c r="AZ3" s="841"/>
      <c r="BA3" s="841"/>
      <c r="BB3" s="841"/>
      <c r="BC3" s="841"/>
      <c r="BD3" s="841"/>
      <c r="BE3" s="841"/>
      <c r="BF3" s="841"/>
      <c r="BG3" s="841"/>
      <c r="BH3" s="841"/>
      <c r="BI3" s="841"/>
      <c r="BJ3" s="841"/>
      <c r="BK3" s="841"/>
      <c r="BL3" s="841"/>
      <c r="BM3" s="841"/>
      <c r="BN3" s="841"/>
      <c r="BO3" s="841"/>
      <c r="BP3" s="841"/>
      <c r="BQ3" s="841"/>
      <c r="BR3" s="841"/>
      <c r="BS3" s="841"/>
      <c r="BT3" s="841"/>
      <c r="BU3" s="841"/>
      <c r="BV3" s="841"/>
      <c r="BW3" s="841"/>
      <c r="BX3" s="841"/>
      <c r="BY3" s="841"/>
      <c r="BZ3" s="841"/>
      <c r="CA3" s="841"/>
      <c r="CB3" s="841"/>
      <c r="CC3" s="841"/>
      <c r="CD3" s="841"/>
      <c r="CE3" s="841"/>
      <c r="CF3" s="841"/>
      <c r="CG3" s="841"/>
      <c r="CH3" s="841"/>
      <c r="CI3" s="841"/>
      <c r="CJ3" s="841"/>
      <c r="CK3" s="841"/>
      <c r="CL3" s="841"/>
      <c r="CM3" s="841"/>
      <c r="CN3" s="841"/>
      <c r="CO3" s="841"/>
      <c r="CP3" s="841"/>
      <c r="CQ3" s="841"/>
      <c r="CR3" s="841"/>
      <c r="CS3" s="841"/>
      <c r="CT3" s="841"/>
      <c r="CU3" s="841"/>
    </row>
    <row r="4" spans="1:103" x14ac:dyDescent="0.35">
      <c r="A4" s="841" t="s">
        <v>642</v>
      </c>
      <c r="B4" s="841"/>
      <c r="C4" s="841"/>
      <c r="D4" s="841"/>
      <c r="E4" s="841"/>
      <c r="F4" s="841"/>
      <c r="G4" s="841"/>
      <c r="H4" s="841"/>
      <c r="I4" s="841"/>
      <c r="J4" s="841"/>
      <c r="K4" s="841"/>
      <c r="L4" s="841"/>
      <c r="M4" s="841"/>
      <c r="N4" s="841"/>
      <c r="O4" s="841"/>
      <c r="P4" s="841"/>
      <c r="Q4" s="841"/>
      <c r="R4" s="841"/>
      <c r="S4" s="841"/>
      <c r="T4" s="841"/>
      <c r="U4" s="841"/>
      <c r="V4" s="841"/>
      <c r="W4" s="841"/>
      <c r="X4" s="841"/>
      <c r="Y4" s="841"/>
      <c r="Z4" s="841"/>
      <c r="AA4" s="841"/>
      <c r="AB4" s="841"/>
      <c r="AC4" s="841"/>
      <c r="AD4" s="841"/>
      <c r="AE4" s="841"/>
      <c r="AF4" s="841"/>
      <c r="AG4" s="841"/>
      <c r="AH4" s="841"/>
      <c r="AI4" s="841"/>
      <c r="AJ4" s="841"/>
      <c r="AK4" s="841"/>
      <c r="AL4" s="841"/>
      <c r="AM4" s="841"/>
      <c r="AN4" s="841"/>
      <c r="AO4" s="841"/>
      <c r="AP4" s="841"/>
      <c r="AQ4" s="841"/>
      <c r="AR4" s="841"/>
      <c r="AS4" s="841"/>
      <c r="AT4" s="841"/>
      <c r="AU4" s="841"/>
      <c r="AV4" s="841"/>
      <c r="AW4" s="841"/>
      <c r="AX4" s="841"/>
      <c r="AY4" s="841"/>
      <c r="AZ4" s="841"/>
      <c r="BA4" s="841"/>
      <c r="BB4" s="841"/>
      <c r="BC4" s="841"/>
      <c r="BD4" s="841"/>
      <c r="BE4" s="841"/>
      <c r="BF4" s="841"/>
      <c r="BG4" s="841"/>
      <c r="BH4" s="841"/>
      <c r="BI4" s="841"/>
      <c r="BJ4" s="841"/>
      <c r="BK4" s="841"/>
      <c r="BL4" s="841"/>
      <c r="BM4" s="841"/>
      <c r="BN4" s="841"/>
      <c r="BO4" s="841"/>
      <c r="BP4" s="841"/>
      <c r="BQ4" s="841"/>
      <c r="BR4" s="841"/>
      <c r="BS4" s="841"/>
      <c r="BT4" s="841"/>
      <c r="BU4" s="841"/>
      <c r="BV4" s="841"/>
      <c r="BW4" s="841"/>
      <c r="BX4" s="841"/>
      <c r="BY4" s="841"/>
      <c r="BZ4" s="841"/>
      <c r="CA4" s="841"/>
      <c r="CB4" s="841"/>
      <c r="CC4" s="841"/>
      <c r="CD4" s="841"/>
      <c r="CE4" s="841"/>
      <c r="CF4" s="841"/>
      <c r="CG4" s="841"/>
      <c r="CH4" s="841"/>
      <c r="CI4" s="841"/>
      <c r="CJ4" s="841"/>
      <c r="CK4" s="841"/>
      <c r="CL4" s="841"/>
      <c r="CM4" s="841"/>
      <c r="CN4" s="841"/>
      <c r="CO4" s="841"/>
      <c r="CP4" s="841"/>
      <c r="CQ4" s="841"/>
      <c r="CR4" s="841"/>
      <c r="CS4" s="841"/>
      <c r="CT4" s="841"/>
      <c r="CU4" s="841"/>
    </row>
    <row r="6" spans="1:103" x14ac:dyDescent="0.35">
      <c r="A6" s="761" t="s">
        <v>643</v>
      </c>
      <c r="B6" s="761" t="s">
        <v>4</v>
      </c>
      <c r="C6" s="761" t="s">
        <v>644</v>
      </c>
      <c r="D6" s="761" t="s">
        <v>645</v>
      </c>
      <c r="E6" s="761" t="s">
        <v>646</v>
      </c>
      <c r="F6" s="761" t="s">
        <v>647</v>
      </c>
      <c r="G6" s="761" t="s">
        <v>648</v>
      </c>
      <c r="H6" s="761" t="s">
        <v>649</v>
      </c>
      <c r="I6" s="761" t="s">
        <v>650</v>
      </c>
      <c r="J6" s="761" t="s">
        <v>651</v>
      </c>
      <c r="K6" s="761" t="s">
        <v>652</v>
      </c>
      <c r="L6" s="761" t="s">
        <v>653</v>
      </c>
      <c r="M6" s="761" t="s">
        <v>654</v>
      </c>
      <c r="N6" s="761" t="s">
        <v>655</v>
      </c>
      <c r="O6" s="761" t="s">
        <v>656</v>
      </c>
      <c r="P6" s="761" t="s">
        <v>657</v>
      </c>
      <c r="Q6" s="761" t="s">
        <v>658</v>
      </c>
      <c r="R6" s="761" t="s">
        <v>659</v>
      </c>
      <c r="S6" s="761" t="s">
        <v>660</v>
      </c>
      <c r="T6" s="761" t="s">
        <v>661</v>
      </c>
      <c r="U6" s="761" t="s">
        <v>662</v>
      </c>
      <c r="V6" s="761" t="s">
        <v>663</v>
      </c>
      <c r="W6" s="761" t="s">
        <v>664</v>
      </c>
      <c r="X6" s="761" t="s">
        <v>665</v>
      </c>
      <c r="Y6" s="761" t="s">
        <v>666</v>
      </c>
      <c r="Z6" s="761" t="s">
        <v>667</v>
      </c>
      <c r="AA6" s="761" t="s">
        <v>668</v>
      </c>
      <c r="AB6" s="761" t="s">
        <v>669</v>
      </c>
      <c r="AC6" s="761" t="s">
        <v>670</v>
      </c>
      <c r="AD6" s="761" t="s">
        <v>671</v>
      </c>
      <c r="AE6" s="761" t="s">
        <v>672</v>
      </c>
      <c r="AF6" s="761" t="s">
        <v>673</v>
      </c>
      <c r="AG6" s="761" t="s">
        <v>674</v>
      </c>
      <c r="AH6" s="761" t="s">
        <v>675</v>
      </c>
      <c r="AI6" s="761" t="s">
        <v>676</v>
      </c>
      <c r="AJ6" s="761" t="s">
        <v>677</v>
      </c>
      <c r="AK6" s="761" t="s">
        <v>678</v>
      </c>
      <c r="AL6" s="761" t="s">
        <v>679</v>
      </c>
      <c r="AM6" s="761" t="s">
        <v>680</v>
      </c>
      <c r="AN6" s="761" t="s">
        <v>681</v>
      </c>
      <c r="AO6" s="761" t="s">
        <v>682</v>
      </c>
      <c r="AP6" s="761" t="s">
        <v>683</v>
      </c>
      <c r="AQ6" s="761" t="s">
        <v>684</v>
      </c>
      <c r="AR6" s="761" t="s">
        <v>685</v>
      </c>
      <c r="AS6" s="761" t="s">
        <v>686</v>
      </c>
      <c r="AT6" s="761" t="s">
        <v>687</v>
      </c>
      <c r="AU6" s="761" t="s">
        <v>688</v>
      </c>
      <c r="AV6" s="761" t="s">
        <v>689</v>
      </c>
      <c r="AW6" s="761" t="s">
        <v>690</v>
      </c>
      <c r="AX6" s="761" t="s">
        <v>691</v>
      </c>
      <c r="AY6" s="761" t="s">
        <v>692</v>
      </c>
      <c r="AZ6" s="761" t="s">
        <v>693</v>
      </c>
      <c r="BA6" s="761" t="s">
        <v>694</v>
      </c>
      <c r="BB6" s="761" t="s">
        <v>695</v>
      </c>
      <c r="BC6" s="761" t="s">
        <v>696</v>
      </c>
      <c r="BD6" s="761" t="s">
        <v>697</v>
      </c>
      <c r="BE6" s="761" t="s">
        <v>698</v>
      </c>
      <c r="BF6" s="761" t="s">
        <v>699</v>
      </c>
      <c r="BG6" s="761" t="s">
        <v>700</v>
      </c>
      <c r="BH6" s="761" t="s">
        <v>701</v>
      </c>
      <c r="BI6" s="761" t="s">
        <v>702</v>
      </c>
      <c r="BJ6" s="761" t="s">
        <v>703</v>
      </c>
      <c r="BK6" s="761" t="s">
        <v>704</v>
      </c>
      <c r="BL6" s="761" t="s">
        <v>705</v>
      </c>
      <c r="BM6" s="761" t="s">
        <v>706</v>
      </c>
      <c r="BN6" s="761" t="s">
        <v>707</v>
      </c>
      <c r="BO6" s="761" t="s">
        <v>708</v>
      </c>
      <c r="BP6" s="761" t="s">
        <v>709</v>
      </c>
      <c r="BQ6" s="761" t="s">
        <v>710</v>
      </c>
      <c r="BR6" s="761" t="s">
        <v>711</v>
      </c>
      <c r="BS6" s="761" t="s">
        <v>712</v>
      </c>
      <c r="BT6" s="761" t="s">
        <v>713</v>
      </c>
      <c r="BU6" s="761" t="s">
        <v>714</v>
      </c>
      <c r="BV6" s="761" t="s">
        <v>715</v>
      </c>
      <c r="BW6" s="761" t="s">
        <v>716</v>
      </c>
      <c r="BX6" s="761" t="s">
        <v>717</v>
      </c>
      <c r="BY6" s="761" t="s">
        <v>718</v>
      </c>
      <c r="BZ6" s="761" t="s">
        <v>719</v>
      </c>
      <c r="CA6" s="761" t="s">
        <v>720</v>
      </c>
      <c r="CB6" s="761" t="s">
        <v>721</v>
      </c>
      <c r="CC6" s="761" t="s">
        <v>722</v>
      </c>
      <c r="CD6" s="761" t="s">
        <v>723</v>
      </c>
      <c r="CE6" s="761" t="s">
        <v>724</v>
      </c>
      <c r="CF6" s="761" t="s">
        <v>725</v>
      </c>
      <c r="CG6" s="761" t="s">
        <v>726</v>
      </c>
      <c r="CH6" s="761" t="s">
        <v>727</v>
      </c>
      <c r="CI6" s="761" t="s">
        <v>728</v>
      </c>
      <c r="CJ6" s="761" t="s">
        <v>729</v>
      </c>
      <c r="CK6" s="761" t="s">
        <v>730</v>
      </c>
      <c r="CL6" s="761" t="s">
        <v>731</v>
      </c>
      <c r="CM6" s="761" t="s">
        <v>732</v>
      </c>
      <c r="CN6" s="761" t="s">
        <v>733</v>
      </c>
      <c r="CO6" s="761" t="s">
        <v>734</v>
      </c>
      <c r="CP6" s="761" t="s">
        <v>735</v>
      </c>
      <c r="CQ6" s="761" t="s">
        <v>736</v>
      </c>
      <c r="CR6" s="761" t="s">
        <v>737</v>
      </c>
      <c r="CS6" s="761" t="s">
        <v>738</v>
      </c>
      <c r="CT6" s="761" t="s">
        <v>739</v>
      </c>
      <c r="CU6" s="761" t="s">
        <v>740</v>
      </c>
    </row>
    <row r="7" spans="1:103" x14ac:dyDescent="0.35">
      <c r="A7" s="330" t="s">
        <v>643</v>
      </c>
      <c r="B7" s="330" t="s">
        <v>4</v>
      </c>
      <c r="C7" s="330" t="s">
        <v>4</v>
      </c>
      <c r="D7" s="330" t="s">
        <v>4</v>
      </c>
      <c r="E7" s="330" t="s">
        <v>4</v>
      </c>
      <c r="F7" s="330" t="s">
        <v>4</v>
      </c>
      <c r="G7" s="330" t="s">
        <v>4</v>
      </c>
      <c r="H7" s="330" t="s">
        <v>4</v>
      </c>
      <c r="I7" s="330" t="s">
        <v>4</v>
      </c>
      <c r="J7" s="330" t="s">
        <v>4</v>
      </c>
      <c r="K7" s="330" t="s">
        <v>4</v>
      </c>
      <c r="L7" s="330" t="s">
        <v>4</v>
      </c>
      <c r="M7" s="330" t="s">
        <v>4</v>
      </c>
      <c r="N7" s="330" t="s">
        <v>4</v>
      </c>
      <c r="O7" s="330" t="s">
        <v>4</v>
      </c>
      <c r="P7" s="330" t="s">
        <v>4</v>
      </c>
      <c r="Q7" s="330" t="s">
        <v>4</v>
      </c>
      <c r="R7" s="330" t="s">
        <v>4</v>
      </c>
      <c r="S7" s="330" t="s">
        <v>4</v>
      </c>
      <c r="T7" s="330" t="s">
        <v>4</v>
      </c>
      <c r="U7" s="330" t="s">
        <v>4</v>
      </c>
      <c r="V7" s="330" t="s">
        <v>4</v>
      </c>
      <c r="W7" s="330" t="s">
        <v>4</v>
      </c>
      <c r="X7" s="330" t="s">
        <v>4</v>
      </c>
      <c r="Y7" s="330" t="s">
        <v>4</v>
      </c>
      <c r="Z7" s="330" t="s">
        <v>4</v>
      </c>
      <c r="AA7" s="330" t="s">
        <v>4</v>
      </c>
      <c r="AB7" s="330" t="s">
        <v>4</v>
      </c>
      <c r="AC7" s="330" t="s">
        <v>4</v>
      </c>
      <c r="AD7" s="330" t="s">
        <v>4</v>
      </c>
      <c r="AE7" s="330" t="s">
        <v>4</v>
      </c>
      <c r="AF7" s="330" t="s">
        <v>4</v>
      </c>
      <c r="AG7" s="330" t="s">
        <v>4</v>
      </c>
      <c r="AH7" s="330" t="s">
        <v>4</v>
      </c>
      <c r="AI7" s="330" t="s">
        <v>4</v>
      </c>
      <c r="AJ7" s="330" t="s">
        <v>4</v>
      </c>
      <c r="AK7" s="330" t="s">
        <v>4</v>
      </c>
      <c r="AL7" s="330" t="s">
        <v>4</v>
      </c>
      <c r="AM7" s="330" t="s">
        <v>4</v>
      </c>
      <c r="AN7" s="330" t="s">
        <v>4</v>
      </c>
      <c r="AO7" s="330" t="s">
        <v>4</v>
      </c>
      <c r="AP7" s="330" t="s">
        <v>4</v>
      </c>
      <c r="AQ7" s="330" t="s">
        <v>4</v>
      </c>
      <c r="AR7" s="330" t="s">
        <v>4</v>
      </c>
      <c r="AS7" s="330" t="s">
        <v>4</v>
      </c>
      <c r="AT7" s="330" t="s">
        <v>4</v>
      </c>
      <c r="AU7" s="330" t="s">
        <v>4</v>
      </c>
      <c r="AV7" s="330" t="s">
        <v>4</v>
      </c>
      <c r="AW7" s="330" t="s">
        <v>4</v>
      </c>
      <c r="AX7" s="330" t="s">
        <v>4</v>
      </c>
      <c r="AY7" s="330" t="s">
        <v>4</v>
      </c>
      <c r="AZ7" s="330" t="s">
        <v>4</v>
      </c>
      <c r="BA7" s="330" t="s">
        <v>4</v>
      </c>
      <c r="BB7" s="330" t="s">
        <v>4</v>
      </c>
      <c r="BC7" s="330" t="s">
        <v>4</v>
      </c>
      <c r="BD7" s="330" t="s">
        <v>4</v>
      </c>
      <c r="BE7" s="330" t="s">
        <v>4</v>
      </c>
      <c r="BF7" s="330" t="s">
        <v>4</v>
      </c>
      <c r="BG7" s="330" t="s">
        <v>4</v>
      </c>
      <c r="BH7" s="330" t="s">
        <v>4</v>
      </c>
      <c r="BI7" s="330" t="s">
        <v>4</v>
      </c>
      <c r="BJ7" s="330" t="s">
        <v>4</v>
      </c>
      <c r="BK7" s="330" t="s">
        <v>4</v>
      </c>
      <c r="BL7" s="330" t="s">
        <v>4</v>
      </c>
      <c r="BM7" s="330" t="s">
        <v>4</v>
      </c>
      <c r="BN7" s="330" t="s">
        <v>4</v>
      </c>
      <c r="BO7" s="330" t="s">
        <v>4</v>
      </c>
      <c r="BP7" s="330" t="s">
        <v>4</v>
      </c>
      <c r="BQ7" s="330" t="s">
        <v>4</v>
      </c>
      <c r="BR7" s="330" t="s">
        <v>4</v>
      </c>
      <c r="BS7" s="330" t="s">
        <v>4</v>
      </c>
      <c r="BT7" s="330" t="s">
        <v>4</v>
      </c>
      <c r="BU7" s="330" t="s">
        <v>4</v>
      </c>
      <c r="BV7" s="330" t="s">
        <v>4</v>
      </c>
      <c r="BW7" s="330" t="s">
        <v>4</v>
      </c>
      <c r="BX7" s="330" t="s">
        <v>4</v>
      </c>
      <c r="BY7" s="330" t="s">
        <v>4</v>
      </c>
      <c r="BZ7" s="330" t="s">
        <v>4</v>
      </c>
      <c r="CA7" s="330" t="s">
        <v>4</v>
      </c>
      <c r="CB7" s="330" t="s">
        <v>4</v>
      </c>
      <c r="CC7" s="330" t="s">
        <v>4</v>
      </c>
      <c r="CD7" s="330" t="s">
        <v>4</v>
      </c>
      <c r="CE7" s="330" t="s">
        <v>4</v>
      </c>
      <c r="CF7" s="330" t="s">
        <v>4</v>
      </c>
      <c r="CG7" s="330" t="s">
        <v>4</v>
      </c>
      <c r="CH7" s="330" t="s">
        <v>4</v>
      </c>
      <c r="CI7" s="330" t="s">
        <v>4</v>
      </c>
      <c r="CJ7" s="330" t="s">
        <v>4</v>
      </c>
      <c r="CK7" s="330" t="s">
        <v>4</v>
      </c>
      <c r="CL7" s="330" t="s">
        <v>4</v>
      </c>
      <c r="CM7" s="330" t="s">
        <v>4</v>
      </c>
      <c r="CN7" s="330" t="s">
        <v>4</v>
      </c>
      <c r="CO7" s="330" t="s">
        <v>4</v>
      </c>
      <c r="CP7" s="330" t="s">
        <v>4</v>
      </c>
      <c r="CQ7" s="330" t="s">
        <v>4</v>
      </c>
      <c r="CR7" s="330" t="s">
        <v>4</v>
      </c>
      <c r="CS7" s="330" t="s">
        <v>4</v>
      </c>
      <c r="CT7" s="330" t="s">
        <v>4</v>
      </c>
      <c r="CU7" s="330" t="s">
        <v>4</v>
      </c>
    </row>
    <row r="8" spans="1:103" x14ac:dyDescent="0.35">
      <c r="A8" s="330" t="s">
        <v>741</v>
      </c>
      <c r="B8" s="331" t="s">
        <v>742</v>
      </c>
      <c r="C8" s="331">
        <v>8.7780000000000005</v>
      </c>
      <c r="D8" s="331">
        <v>8.4570000000000007</v>
      </c>
      <c r="E8" s="331">
        <v>7.5869999999999997</v>
      </c>
      <c r="F8" s="331">
        <v>6.7</v>
      </c>
      <c r="G8" s="331">
        <v>6.5140000000000002</v>
      </c>
      <c r="H8" s="331">
        <v>6.8710000000000004</v>
      </c>
      <c r="I8" s="331">
        <v>7.0119999999999996</v>
      </c>
      <c r="J8" s="331">
        <v>7.0970000000000004</v>
      </c>
      <c r="K8" s="331">
        <v>7.4020000000000001</v>
      </c>
      <c r="L8" s="331">
        <v>7.19</v>
      </c>
      <c r="M8" s="331">
        <v>7.12</v>
      </c>
      <c r="N8" s="331">
        <v>7.2050000000000001</v>
      </c>
      <c r="O8" s="331">
        <v>7.6920000000000002</v>
      </c>
      <c r="P8" s="331">
        <v>8.3040000000000003</v>
      </c>
      <c r="Q8" s="331">
        <v>8.6829999999999998</v>
      </c>
      <c r="R8" s="331">
        <v>8.89</v>
      </c>
      <c r="S8" s="331">
        <v>9.1199999999999992</v>
      </c>
      <c r="T8" s="331">
        <v>10.295999999999999</v>
      </c>
      <c r="U8" s="331">
        <v>11.426</v>
      </c>
      <c r="V8" s="331">
        <v>12.067</v>
      </c>
      <c r="W8" s="331">
        <v>12.045999999999999</v>
      </c>
      <c r="X8" s="331">
        <v>12.195</v>
      </c>
      <c r="Y8" s="331">
        <v>13.06</v>
      </c>
      <c r="Z8" s="331">
        <v>13.286</v>
      </c>
      <c r="AA8" s="331">
        <v>13.446999999999999</v>
      </c>
      <c r="AB8" s="331">
        <v>13.571999999999999</v>
      </c>
      <c r="AC8" s="331">
        <v>13.801</v>
      </c>
      <c r="AD8" s="331">
        <v>14.271000000000001</v>
      </c>
      <c r="AE8" s="331">
        <v>14.744</v>
      </c>
      <c r="AF8" s="331">
        <v>15.08</v>
      </c>
      <c r="AG8" s="331">
        <v>15.287000000000001</v>
      </c>
      <c r="AH8" s="331">
        <v>15.494999999999999</v>
      </c>
      <c r="AI8" s="331">
        <v>15.66</v>
      </c>
      <c r="AJ8" s="331">
        <v>15.85</v>
      </c>
      <c r="AK8" s="331">
        <v>16.032</v>
      </c>
      <c r="AL8" s="331">
        <v>16.276</v>
      </c>
      <c r="AM8" s="331">
        <v>16.574000000000002</v>
      </c>
      <c r="AN8" s="331">
        <v>17.039000000000001</v>
      </c>
      <c r="AO8" s="331">
        <v>17.533000000000001</v>
      </c>
      <c r="AP8" s="331">
        <v>18.28</v>
      </c>
      <c r="AQ8" s="331">
        <v>19.175999999999998</v>
      </c>
      <c r="AR8" s="331">
        <v>20.189</v>
      </c>
      <c r="AS8" s="331">
        <v>21.212</v>
      </c>
      <c r="AT8" s="331">
        <v>22.13</v>
      </c>
      <c r="AU8" s="331">
        <v>23.341999999999999</v>
      </c>
      <c r="AV8" s="331">
        <v>25.443000000000001</v>
      </c>
      <c r="AW8" s="331">
        <v>27.8</v>
      </c>
      <c r="AX8" s="331">
        <v>29.33</v>
      </c>
      <c r="AY8" s="331">
        <v>31.152000000000001</v>
      </c>
      <c r="AZ8" s="331">
        <v>33.343000000000004</v>
      </c>
      <c r="BA8" s="331">
        <v>36.11</v>
      </c>
      <c r="BB8" s="331">
        <v>39.371000000000002</v>
      </c>
      <c r="BC8" s="331">
        <v>43.097000000000001</v>
      </c>
      <c r="BD8" s="331">
        <v>45.759</v>
      </c>
      <c r="BE8" s="331">
        <v>47.552</v>
      </c>
      <c r="BF8" s="331">
        <v>49.267000000000003</v>
      </c>
      <c r="BG8" s="331">
        <v>50.826000000000001</v>
      </c>
      <c r="BH8" s="331">
        <v>51.848999999999997</v>
      </c>
      <c r="BI8" s="331">
        <v>53.134</v>
      </c>
      <c r="BJ8" s="331">
        <v>55.008000000000003</v>
      </c>
      <c r="BK8" s="331">
        <v>57.164999999999999</v>
      </c>
      <c r="BL8" s="331">
        <v>59.305</v>
      </c>
      <c r="BM8" s="331">
        <v>61.31</v>
      </c>
      <c r="BN8" s="331">
        <v>62.707000000000001</v>
      </c>
      <c r="BO8" s="331">
        <v>64.194000000000003</v>
      </c>
      <c r="BP8" s="331">
        <v>65.563999999999993</v>
      </c>
      <c r="BQ8" s="331">
        <v>66.938999999999993</v>
      </c>
      <c r="BR8" s="331">
        <v>68.164000000000001</v>
      </c>
      <c r="BS8" s="331">
        <v>69.34</v>
      </c>
      <c r="BT8" s="331">
        <v>70.119</v>
      </c>
      <c r="BU8" s="331">
        <v>71.111000000000004</v>
      </c>
      <c r="BV8" s="331">
        <v>72.721999999999994</v>
      </c>
      <c r="BW8" s="331">
        <v>74.36</v>
      </c>
      <c r="BX8" s="331">
        <v>75.515000000000001</v>
      </c>
      <c r="BY8" s="331">
        <v>77.006</v>
      </c>
      <c r="BZ8" s="331">
        <v>79.076999999999998</v>
      </c>
      <c r="CA8" s="331">
        <v>81.555999999999997</v>
      </c>
      <c r="CB8" s="331">
        <v>84.070999999999998</v>
      </c>
      <c r="CC8" s="331">
        <v>86.349000000000004</v>
      </c>
      <c r="CD8" s="331">
        <v>88.013000000000005</v>
      </c>
      <c r="CE8" s="331">
        <v>88.555999999999997</v>
      </c>
      <c r="CF8" s="331">
        <v>89.632000000000005</v>
      </c>
      <c r="CG8" s="331">
        <v>91.480999999999995</v>
      </c>
      <c r="CH8" s="331">
        <v>93.185000000000002</v>
      </c>
      <c r="CI8" s="331">
        <v>94.771000000000001</v>
      </c>
      <c r="CJ8" s="331">
        <v>96.421000000000006</v>
      </c>
      <c r="CK8" s="331">
        <v>97.316000000000003</v>
      </c>
      <c r="CL8" s="331">
        <v>98.241</v>
      </c>
      <c r="CM8" s="331">
        <v>100</v>
      </c>
      <c r="CN8" s="331">
        <v>102.291</v>
      </c>
      <c r="CO8" s="331">
        <v>103.979</v>
      </c>
      <c r="CP8" s="331">
        <v>105.377</v>
      </c>
      <c r="CQ8" s="331">
        <v>110.18600000000001</v>
      </c>
      <c r="CR8" s="331">
        <v>118.023</v>
      </c>
      <c r="CS8" s="331">
        <v>122.39</v>
      </c>
      <c r="CT8" s="331">
        <v>125.428</v>
      </c>
      <c r="CU8" s="331">
        <v>128.97900000000001</v>
      </c>
      <c r="CW8" s="344" t="s">
        <v>743</v>
      </c>
      <c r="CX8" s="345">
        <f>CT8/BV8</f>
        <v>1.7247600451032701</v>
      </c>
    </row>
    <row r="9" spans="1:103" x14ac:dyDescent="0.35">
      <c r="A9" s="330" t="s">
        <v>744</v>
      </c>
      <c r="B9" s="331" t="s">
        <v>745</v>
      </c>
      <c r="C9" s="331">
        <v>8.7870000000000008</v>
      </c>
      <c r="D9" s="331">
        <v>8.4149999999999991</v>
      </c>
      <c r="E9" s="331">
        <v>7.5140000000000002</v>
      </c>
      <c r="F9" s="331">
        <v>6.6269999999999998</v>
      </c>
      <c r="G9" s="331">
        <v>6.391</v>
      </c>
      <c r="H9" s="331">
        <v>6.681</v>
      </c>
      <c r="I9" s="331">
        <v>6.8460000000000001</v>
      </c>
      <c r="J9" s="331">
        <v>6.9089999999999998</v>
      </c>
      <c r="K9" s="331">
        <v>7.16</v>
      </c>
      <c r="L9" s="331">
        <v>6.9969999999999999</v>
      </c>
      <c r="M9" s="331">
        <v>6.9290000000000003</v>
      </c>
      <c r="N9" s="331">
        <v>6.9880000000000004</v>
      </c>
      <c r="O9" s="331">
        <v>7.423</v>
      </c>
      <c r="P9" s="331">
        <v>8.3469999999999995</v>
      </c>
      <c r="Q9" s="331">
        <v>9.1150000000000002</v>
      </c>
      <c r="R9" s="331">
        <v>9.6379999999999999</v>
      </c>
      <c r="S9" s="331">
        <v>10.023999999999999</v>
      </c>
      <c r="T9" s="331">
        <v>10.722</v>
      </c>
      <c r="U9" s="331">
        <v>11.808999999999999</v>
      </c>
      <c r="V9" s="331">
        <v>12.477</v>
      </c>
      <c r="W9" s="331">
        <v>12.379</v>
      </c>
      <c r="X9" s="331">
        <v>12.526999999999999</v>
      </c>
      <c r="Y9" s="331">
        <v>13.38</v>
      </c>
      <c r="Z9" s="331">
        <v>13.654</v>
      </c>
      <c r="AA9" s="331">
        <v>13.834</v>
      </c>
      <c r="AB9" s="331">
        <v>13.95</v>
      </c>
      <c r="AC9" s="331">
        <v>14.005000000000001</v>
      </c>
      <c r="AD9" s="331">
        <v>14.284000000000001</v>
      </c>
      <c r="AE9" s="331">
        <v>14.718</v>
      </c>
      <c r="AF9" s="331">
        <v>15.066000000000001</v>
      </c>
      <c r="AG9" s="331">
        <v>15.29</v>
      </c>
      <c r="AH9" s="331">
        <v>15.541</v>
      </c>
      <c r="AI9" s="331">
        <v>15.702</v>
      </c>
      <c r="AJ9" s="331">
        <v>15.885999999999999</v>
      </c>
      <c r="AK9" s="331">
        <v>16.077000000000002</v>
      </c>
      <c r="AL9" s="331">
        <v>16.309000000000001</v>
      </c>
      <c r="AM9" s="331">
        <v>16.544</v>
      </c>
      <c r="AN9" s="331">
        <v>16.962</v>
      </c>
      <c r="AO9" s="331">
        <v>17.388999999999999</v>
      </c>
      <c r="AP9" s="331">
        <v>18.068999999999999</v>
      </c>
      <c r="AQ9" s="331">
        <v>18.882999999999999</v>
      </c>
      <c r="AR9" s="331">
        <v>19.765999999999998</v>
      </c>
      <c r="AS9" s="331">
        <v>20.605</v>
      </c>
      <c r="AT9" s="331">
        <v>21.308</v>
      </c>
      <c r="AU9" s="331">
        <v>22.454999999999998</v>
      </c>
      <c r="AV9" s="331">
        <v>24.792999999999999</v>
      </c>
      <c r="AW9" s="331">
        <v>26.86</v>
      </c>
      <c r="AX9" s="331">
        <v>28.332999999999998</v>
      </c>
      <c r="AY9" s="331">
        <v>30.175999999999998</v>
      </c>
      <c r="AZ9" s="331">
        <v>32.276000000000003</v>
      </c>
      <c r="BA9" s="331">
        <v>35.143000000000001</v>
      </c>
      <c r="BB9" s="331">
        <v>38.927999999999997</v>
      </c>
      <c r="BC9" s="331">
        <v>42.414999999999999</v>
      </c>
      <c r="BD9" s="331">
        <v>44.771000000000001</v>
      </c>
      <c r="BE9" s="331">
        <v>46.676000000000002</v>
      </c>
      <c r="BF9" s="331">
        <v>48.439</v>
      </c>
      <c r="BG9" s="331">
        <v>50.128</v>
      </c>
      <c r="BH9" s="331">
        <v>51.219000000000001</v>
      </c>
      <c r="BI9" s="331">
        <v>52.802</v>
      </c>
      <c r="BJ9" s="331">
        <v>54.865000000000002</v>
      </c>
      <c r="BK9" s="331">
        <v>57.261000000000003</v>
      </c>
      <c r="BL9" s="331">
        <v>59.774999999999999</v>
      </c>
      <c r="BM9" s="331">
        <v>61.774000000000001</v>
      </c>
      <c r="BN9" s="331">
        <v>63.42</v>
      </c>
      <c r="BO9" s="331">
        <v>65</v>
      </c>
      <c r="BP9" s="331">
        <v>66.355999999999995</v>
      </c>
      <c r="BQ9" s="331">
        <v>67.754000000000005</v>
      </c>
      <c r="BR9" s="331">
        <v>69.203000000000003</v>
      </c>
      <c r="BS9" s="331">
        <v>70.406999999999996</v>
      </c>
      <c r="BT9" s="331">
        <v>70.966999999999999</v>
      </c>
      <c r="BU9" s="331">
        <v>72.001000000000005</v>
      </c>
      <c r="BV9" s="331">
        <v>73.822000000000003</v>
      </c>
      <c r="BW9" s="331">
        <v>75.302000000000007</v>
      </c>
      <c r="BX9" s="331">
        <v>76.290999999999997</v>
      </c>
      <c r="BY9" s="331">
        <v>77.894000000000005</v>
      </c>
      <c r="BZ9" s="331">
        <v>79.826999999999998</v>
      </c>
      <c r="CA9" s="331">
        <v>82.126999999999995</v>
      </c>
      <c r="CB9" s="331">
        <v>84.44</v>
      </c>
      <c r="CC9" s="331">
        <v>86.606999999999999</v>
      </c>
      <c r="CD9" s="331">
        <v>89.17</v>
      </c>
      <c r="CE9" s="331">
        <v>88.921000000000006</v>
      </c>
      <c r="CF9" s="331">
        <v>90.513999999999996</v>
      </c>
      <c r="CG9" s="331">
        <v>92.804000000000002</v>
      </c>
      <c r="CH9" s="331">
        <v>94.534000000000006</v>
      </c>
      <c r="CI9" s="331">
        <v>95.781000000000006</v>
      </c>
      <c r="CJ9" s="331">
        <v>97.120999999999995</v>
      </c>
      <c r="CK9" s="331">
        <v>97.299000000000007</v>
      </c>
      <c r="CL9" s="331">
        <v>98.284000000000006</v>
      </c>
      <c r="CM9" s="331">
        <v>100</v>
      </c>
      <c r="CN9" s="331">
        <v>102.047</v>
      </c>
      <c r="CO9" s="331">
        <v>103.509</v>
      </c>
      <c r="CP9" s="331">
        <v>104.666</v>
      </c>
      <c r="CQ9" s="331">
        <v>108.97199999999999</v>
      </c>
      <c r="CR9" s="331">
        <v>116.1</v>
      </c>
      <c r="CS9" s="331">
        <v>120.511</v>
      </c>
      <c r="CT9" s="331">
        <v>123.666</v>
      </c>
      <c r="CU9" s="331">
        <v>126.917</v>
      </c>
      <c r="CW9" s="344" t="s">
        <v>746</v>
      </c>
      <c r="CX9" s="345">
        <f>CT8/(CU8*1.02)</f>
        <v>0.95340037875142758</v>
      </c>
      <c r="CY9" s="518" t="s">
        <v>747</v>
      </c>
    </row>
    <row r="10" spans="1:103" x14ac:dyDescent="0.35">
      <c r="A10" s="330" t="s">
        <v>748</v>
      </c>
      <c r="B10" s="330" t="s">
        <v>749</v>
      </c>
      <c r="C10" s="330">
        <v>15.721</v>
      </c>
      <c r="D10" s="330">
        <v>14.884</v>
      </c>
      <c r="E10" s="330">
        <v>12.832000000000001</v>
      </c>
      <c r="F10" s="330">
        <v>11.055</v>
      </c>
      <c r="G10" s="330">
        <v>10.964</v>
      </c>
      <c r="H10" s="330">
        <v>12.045</v>
      </c>
      <c r="I10" s="330">
        <v>12.368</v>
      </c>
      <c r="J10" s="330">
        <v>12.416</v>
      </c>
      <c r="K10" s="330">
        <v>12.863</v>
      </c>
      <c r="L10" s="330">
        <v>12.342000000000001</v>
      </c>
      <c r="M10" s="330">
        <v>12.154999999999999</v>
      </c>
      <c r="N10" s="330">
        <v>12.263999999999999</v>
      </c>
      <c r="O10" s="330">
        <v>13.272</v>
      </c>
      <c r="P10" s="330">
        <v>15.465999999999999</v>
      </c>
      <c r="Q10" s="330">
        <v>17.244</v>
      </c>
      <c r="R10" s="330">
        <v>18.391999999999999</v>
      </c>
      <c r="S10" s="330">
        <v>19.234000000000002</v>
      </c>
      <c r="T10" s="330">
        <v>20.7</v>
      </c>
      <c r="U10" s="330">
        <v>23.190999999999999</v>
      </c>
      <c r="V10" s="330">
        <v>24.559000000000001</v>
      </c>
      <c r="W10" s="330">
        <v>23.984999999999999</v>
      </c>
      <c r="X10" s="330">
        <v>24.061</v>
      </c>
      <c r="Y10" s="330">
        <v>26.003</v>
      </c>
      <c r="Z10" s="330">
        <v>26.253</v>
      </c>
      <c r="AA10" s="330">
        <v>26.132999999999999</v>
      </c>
      <c r="AB10" s="330">
        <v>26.033000000000001</v>
      </c>
      <c r="AC10" s="330">
        <v>25.88</v>
      </c>
      <c r="AD10" s="330">
        <v>26.32</v>
      </c>
      <c r="AE10" s="330">
        <v>27.143000000000001</v>
      </c>
      <c r="AF10" s="330">
        <v>27.760999999999999</v>
      </c>
      <c r="AG10" s="330">
        <v>27.902999999999999</v>
      </c>
      <c r="AH10" s="330">
        <v>28.122</v>
      </c>
      <c r="AI10" s="330">
        <v>28.227</v>
      </c>
      <c r="AJ10" s="330">
        <v>28.373000000000001</v>
      </c>
      <c r="AK10" s="330">
        <v>28.609000000000002</v>
      </c>
      <c r="AL10" s="330">
        <v>28.92</v>
      </c>
      <c r="AM10" s="330">
        <v>29.224</v>
      </c>
      <c r="AN10" s="330">
        <v>29.867999999999999</v>
      </c>
      <c r="AO10" s="330">
        <v>30.393999999999998</v>
      </c>
      <c r="AP10" s="330">
        <v>31.454000000000001</v>
      </c>
      <c r="AQ10" s="330">
        <v>32.673000000000002</v>
      </c>
      <c r="AR10" s="330">
        <v>33.918999999999997</v>
      </c>
      <c r="AS10" s="330">
        <v>34.938000000000002</v>
      </c>
      <c r="AT10" s="330">
        <v>35.832999999999998</v>
      </c>
      <c r="AU10" s="330">
        <v>37.97</v>
      </c>
      <c r="AV10" s="330">
        <v>42.709000000000003</v>
      </c>
      <c r="AW10" s="330">
        <v>46.158999999999999</v>
      </c>
      <c r="AX10" s="330">
        <v>47.966000000000001</v>
      </c>
      <c r="AY10" s="330">
        <v>50.526000000000003</v>
      </c>
      <c r="AZ10" s="330">
        <v>53.625999999999998</v>
      </c>
      <c r="BA10" s="330">
        <v>58.698</v>
      </c>
      <c r="BB10" s="330">
        <v>65.271000000000001</v>
      </c>
      <c r="BC10" s="330">
        <v>70.12</v>
      </c>
      <c r="BD10" s="330">
        <v>72.031000000000006</v>
      </c>
      <c r="BE10" s="330">
        <v>73.331000000000003</v>
      </c>
      <c r="BF10" s="330">
        <v>74.718000000000004</v>
      </c>
      <c r="BG10" s="330">
        <v>75.917000000000002</v>
      </c>
      <c r="BH10" s="330">
        <v>75.561999999999998</v>
      </c>
      <c r="BI10" s="330">
        <v>77.992000000000004</v>
      </c>
      <c r="BJ10" s="330">
        <v>80.048000000000002</v>
      </c>
      <c r="BK10" s="330">
        <v>83.128</v>
      </c>
      <c r="BL10" s="330">
        <v>86.531999999999996</v>
      </c>
      <c r="BM10" s="330">
        <v>88.647000000000006</v>
      </c>
      <c r="BN10" s="330">
        <v>89.716999999999999</v>
      </c>
      <c r="BO10" s="330">
        <v>90.495999999999995</v>
      </c>
      <c r="BP10" s="330">
        <v>91.417000000000002</v>
      </c>
      <c r="BQ10" s="330">
        <v>92.271000000000001</v>
      </c>
      <c r="BR10" s="330">
        <v>93.284999999999997</v>
      </c>
      <c r="BS10" s="330">
        <v>93.177000000000007</v>
      </c>
      <c r="BT10" s="330">
        <v>91.777000000000001</v>
      </c>
      <c r="BU10" s="330">
        <v>92.257999999999996</v>
      </c>
      <c r="BV10" s="330">
        <v>94.088999999999999</v>
      </c>
      <c r="BW10" s="330">
        <v>94.018000000000001</v>
      </c>
      <c r="BX10" s="330">
        <v>93.122</v>
      </c>
      <c r="BY10" s="330">
        <v>93.003</v>
      </c>
      <c r="BZ10" s="330">
        <v>94.311000000000007</v>
      </c>
      <c r="CA10" s="330">
        <v>96.203000000000003</v>
      </c>
      <c r="CB10" s="330">
        <v>97.494</v>
      </c>
      <c r="CC10" s="330">
        <v>98.575999999999993</v>
      </c>
      <c r="CD10" s="330">
        <v>101.524</v>
      </c>
      <c r="CE10" s="330">
        <v>99.084000000000003</v>
      </c>
      <c r="CF10" s="330">
        <v>100.533</v>
      </c>
      <c r="CG10" s="330">
        <v>104.325</v>
      </c>
      <c r="CH10" s="330">
        <v>105.62</v>
      </c>
      <c r="CI10" s="330">
        <v>105.04900000000001</v>
      </c>
      <c r="CJ10" s="330">
        <v>104.542</v>
      </c>
      <c r="CK10" s="330">
        <v>101.35</v>
      </c>
      <c r="CL10" s="330">
        <v>99.71</v>
      </c>
      <c r="CM10" s="330">
        <v>100</v>
      </c>
      <c r="CN10" s="330">
        <v>100.81100000000001</v>
      </c>
      <c r="CO10" s="330">
        <v>100.426</v>
      </c>
      <c r="CP10" s="330">
        <v>99.665999999999997</v>
      </c>
      <c r="CQ10" s="330">
        <v>104.599</v>
      </c>
      <c r="CR10" s="330">
        <v>113.639</v>
      </c>
      <c r="CS10" s="330">
        <v>115.03700000000001</v>
      </c>
      <c r="CT10" s="330">
        <v>114.538</v>
      </c>
      <c r="CU10" s="330">
        <v>115.331</v>
      </c>
      <c r="CW10" s="344" t="s">
        <v>750</v>
      </c>
      <c r="CX10" s="345">
        <f>CT8/CR8</f>
        <v>1.0627420079137118</v>
      </c>
    </row>
    <row r="11" spans="1:103" x14ac:dyDescent="0.35">
      <c r="A11" s="330" t="s">
        <v>751</v>
      </c>
      <c r="B11" s="330" t="s">
        <v>752</v>
      </c>
      <c r="C11" s="330">
        <v>35.784999999999997</v>
      </c>
      <c r="D11" s="330">
        <v>33.69</v>
      </c>
      <c r="E11" s="330">
        <v>30.082000000000001</v>
      </c>
      <c r="F11" s="330">
        <v>26.504999999999999</v>
      </c>
      <c r="G11" s="330">
        <v>25.861000000000001</v>
      </c>
      <c r="H11" s="330">
        <v>27.414000000000001</v>
      </c>
      <c r="I11" s="330">
        <v>27.259</v>
      </c>
      <c r="J11" s="330">
        <v>27.416</v>
      </c>
      <c r="K11" s="330">
        <v>28.545000000000002</v>
      </c>
      <c r="L11" s="330">
        <v>28.524000000000001</v>
      </c>
      <c r="M11" s="330">
        <v>28.178999999999998</v>
      </c>
      <c r="N11" s="330">
        <v>28.463000000000001</v>
      </c>
      <c r="O11" s="330">
        <v>30.568999999999999</v>
      </c>
      <c r="P11" s="330">
        <v>35.786000000000001</v>
      </c>
      <c r="Q11" s="330">
        <v>39.034999999999997</v>
      </c>
      <c r="R11" s="330">
        <v>43.881</v>
      </c>
      <c r="S11" s="330">
        <v>46.414999999999999</v>
      </c>
      <c r="T11" s="330">
        <v>48.332000000000001</v>
      </c>
      <c r="U11" s="330">
        <v>52.569000000000003</v>
      </c>
      <c r="V11" s="330">
        <v>55.258000000000003</v>
      </c>
      <c r="W11" s="330">
        <v>55.634999999999998</v>
      </c>
      <c r="X11" s="330">
        <v>55.918999999999997</v>
      </c>
      <c r="Y11" s="330">
        <v>59.665999999999997</v>
      </c>
      <c r="Z11" s="330">
        <v>60.037999999999997</v>
      </c>
      <c r="AA11" s="330">
        <v>59.566000000000003</v>
      </c>
      <c r="AB11" s="330">
        <v>58.261000000000003</v>
      </c>
      <c r="AC11" s="330">
        <v>58.036000000000001</v>
      </c>
      <c r="AD11" s="330">
        <v>59.435000000000002</v>
      </c>
      <c r="AE11" s="330">
        <v>61.622</v>
      </c>
      <c r="AF11" s="330">
        <v>62.741</v>
      </c>
      <c r="AG11" s="330">
        <v>63.738</v>
      </c>
      <c r="AH11" s="330">
        <v>63.497</v>
      </c>
      <c r="AI11" s="330">
        <v>63.656999999999996</v>
      </c>
      <c r="AJ11" s="330">
        <v>63.930999999999997</v>
      </c>
      <c r="AK11" s="330">
        <v>64.174999999999997</v>
      </c>
      <c r="AL11" s="330">
        <v>64.465000000000003</v>
      </c>
      <c r="AM11" s="330">
        <v>63.936</v>
      </c>
      <c r="AN11" s="330">
        <v>63.795999999999999</v>
      </c>
      <c r="AO11" s="330">
        <v>64.820999999999998</v>
      </c>
      <c r="AP11" s="330">
        <v>66.897999999999996</v>
      </c>
      <c r="AQ11" s="330">
        <v>68.784000000000006</v>
      </c>
      <c r="AR11" s="330">
        <v>70.268000000000001</v>
      </c>
      <c r="AS11" s="330">
        <v>72.694000000000003</v>
      </c>
      <c r="AT11" s="330">
        <v>73.495000000000005</v>
      </c>
      <c r="AU11" s="330">
        <v>74.584000000000003</v>
      </c>
      <c r="AV11" s="330">
        <v>79.48</v>
      </c>
      <c r="AW11" s="330">
        <v>86.593000000000004</v>
      </c>
      <c r="AX11" s="330">
        <v>91.328999999999994</v>
      </c>
      <c r="AY11" s="330">
        <v>95.418999999999997</v>
      </c>
      <c r="AZ11" s="330">
        <v>100.76</v>
      </c>
      <c r="BA11" s="330">
        <v>107.438</v>
      </c>
      <c r="BB11" s="330">
        <v>116.762</v>
      </c>
      <c r="BC11" s="330">
        <v>124.57</v>
      </c>
      <c r="BD11" s="330">
        <v>129.429</v>
      </c>
      <c r="BE11" s="330">
        <v>132.05199999999999</v>
      </c>
      <c r="BF11" s="330">
        <v>134.005</v>
      </c>
      <c r="BG11" s="330">
        <v>135.423</v>
      </c>
      <c r="BH11" s="330">
        <v>136.91200000000001</v>
      </c>
      <c r="BI11" s="330">
        <v>140.852</v>
      </c>
      <c r="BJ11" s="330">
        <v>143.17500000000001</v>
      </c>
      <c r="BK11" s="330">
        <v>145.78399999999999</v>
      </c>
      <c r="BL11" s="330">
        <v>147.232</v>
      </c>
      <c r="BM11" s="330">
        <v>149.38999999999999</v>
      </c>
      <c r="BN11" s="330">
        <v>150.422</v>
      </c>
      <c r="BO11" s="330">
        <v>151.90299999999999</v>
      </c>
      <c r="BP11" s="330">
        <v>154.876</v>
      </c>
      <c r="BQ11" s="330">
        <v>156.006</v>
      </c>
      <c r="BR11" s="330">
        <v>154.43100000000001</v>
      </c>
      <c r="BS11" s="330">
        <v>151.059</v>
      </c>
      <c r="BT11" s="330">
        <v>146.79</v>
      </c>
      <c r="BU11" s="330">
        <v>142.83500000000001</v>
      </c>
      <c r="BV11" s="330">
        <v>140.29300000000001</v>
      </c>
      <c r="BW11" s="330">
        <v>137.54499999999999</v>
      </c>
      <c r="BX11" s="330">
        <v>134.07400000000001</v>
      </c>
      <c r="BY11" s="330">
        <v>129.173</v>
      </c>
      <c r="BZ11" s="330">
        <v>126.64700000000001</v>
      </c>
      <c r="CA11" s="330">
        <v>125.33199999999999</v>
      </c>
      <c r="CB11" s="330">
        <v>123.187</v>
      </c>
      <c r="CC11" s="330">
        <v>120.56399999999999</v>
      </c>
      <c r="CD11" s="330">
        <v>118.304</v>
      </c>
      <c r="CE11" s="330">
        <v>116.081</v>
      </c>
      <c r="CF11" s="330">
        <v>113.946</v>
      </c>
      <c r="CG11" s="330">
        <v>113.023</v>
      </c>
      <c r="CH11" s="330">
        <v>111.595</v>
      </c>
      <c r="CI11" s="330">
        <v>109.551</v>
      </c>
      <c r="CJ11" s="330">
        <v>106.771</v>
      </c>
      <c r="CK11" s="330">
        <v>104.617</v>
      </c>
      <c r="CL11" s="330">
        <v>102.337</v>
      </c>
      <c r="CM11" s="330">
        <v>100</v>
      </c>
      <c r="CN11" s="330">
        <v>98.632999999999996</v>
      </c>
      <c r="CO11" s="330">
        <v>97.686000000000007</v>
      </c>
      <c r="CP11" s="330">
        <v>96.813999999999993</v>
      </c>
      <c r="CQ11" s="330">
        <v>102.182</v>
      </c>
      <c r="CR11" s="330">
        <v>108.792</v>
      </c>
      <c r="CS11" s="330">
        <v>107.979</v>
      </c>
      <c r="CT11" s="330">
        <v>105.751</v>
      </c>
      <c r="CU11" s="330">
        <v>106.18300000000001</v>
      </c>
    </row>
    <row r="12" spans="1:103" x14ac:dyDescent="0.35">
      <c r="A12" s="330" t="s">
        <v>753</v>
      </c>
      <c r="B12" s="330" t="s">
        <v>754</v>
      </c>
      <c r="C12" s="330">
        <v>10.340999999999999</v>
      </c>
      <c r="D12" s="330">
        <v>9.8049999999999997</v>
      </c>
      <c r="E12" s="330">
        <v>8.3819999999999997</v>
      </c>
      <c r="F12" s="330">
        <v>7.1870000000000003</v>
      </c>
      <c r="G12" s="330">
        <v>7.15</v>
      </c>
      <c r="H12" s="330">
        <v>7.9080000000000004</v>
      </c>
      <c r="I12" s="330">
        <v>8.173</v>
      </c>
      <c r="J12" s="330">
        <v>8.202</v>
      </c>
      <c r="K12" s="330">
        <v>8.4870000000000001</v>
      </c>
      <c r="L12" s="330">
        <v>8.0690000000000008</v>
      </c>
      <c r="M12" s="330">
        <v>7.9420000000000002</v>
      </c>
      <c r="N12" s="330">
        <v>8.01</v>
      </c>
      <c r="O12" s="330">
        <v>8.6869999999999994</v>
      </c>
      <c r="P12" s="330">
        <v>10.112</v>
      </c>
      <c r="Q12" s="330">
        <v>11.315</v>
      </c>
      <c r="R12" s="330">
        <v>11.973000000000001</v>
      </c>
      <c r="S12" s="330">
        <v>12.499000000000001</v>
      </c>
      <c r="T12" s="330">
        <v>13.542</v>
      </c>
      <c r="U12" s="330">
        <v>15.29</v>
      </c>
      <c r="V12" s="330">
        <v>16.227</v>
      </c>
      <c r="W12" s="330">
        <v>15.698</v>
      </c>
      <c r="X12" s="330">
        <v>15.737</v>
      </c>
      <c r="Y12" s="330">
        <v>17.085999999999999</v>
      </c>
      <c r="Z12" s="330">
        <v>17.268999999999998</v>
      </c>
      <c r="AA12" s="330">
        <v>17.209</v>
      </c>
      <c r="AB12" s="330">
        <v>17.25</v>
      </c>
      <c r="AC12" s="330">
        <v>17.138000000000002</v>
      </c>
      <c r="AD12" s="330">
        <v>17.382999999999999</v>
      </c>
      <c r="AE12" s="330">
        <v>17.893000000000001</v>
      </c>
      <c r="AF12" s="330">
        <v>18.329000000000001</v>
      </c>
      <c r="AG12" s="330">
        <v>18.356000000000002</v>
      </c>
      <c r="AH12" s="330">
        <v>18.574999999999999</v>
      </c>
      <c r="AI12" s="330">
        <v>18.652000000000001</v>
      </c>
      <c r="AJ12" s="330">
        <v>18.754000000000001</v>
      </c>
      <c r="AK12" s="330">
        <v>18.940999999999999</v>
      </c>
      <c r="AL12" s="330">
        <v>19.193999999999999</v>
      </c>
      <c r="AM12" s="330">
        <v>19.54</v>
      </c>
      <c r="AN12" s="330">
        <v>20.164999999999999</v>
      </c>
      <c r="AO12" s="330">
        <v>20.533000000000001</v>
      </c>
      <c r="AP12" s="330">
        <v>21.273</v>
      </c>
      <c r="AQ12" s="330">
        <v>22.193999999999999</v>
      </c>
      <c r="AR12" s="330">
        <v>23.192</v>
      </c>
      <c r="AS12" s="330">
        <v>23.846</v>
      </c>
      <c r="AT12" s="330">
        <v>24.611000000000001</v>
      </c>
      <c r="AU12" s="330">
        <v>26.594999999999999</v>
      </c>
      <c r="AV12" s="330">
        <v>30.617000000000001</v>
      </c>
      <c r="AW12" s="330">
        <v>32.984000000000002</v>
      </c>
      <c r="AX12" s="330">
        <v>34.058</v>
      </c>
      <c r="AY12" s="330">
        <v>36.009</v>
      </c>
      <c r="AZ12" s="330">
        <v>38.311</v>
      </c>
      <c r="BA12" s="330">
        <v>42.44</v>
      </c>
      <c r="BB12" s="330">
        <v>47.646999999999998</v>
      </c>
      <c r="BC12" s="330">
        <v>51.326000000000001</v>
      </c>
      <c r="BD12" s="330">
        <v>52.491</v>
      </c>
      <c r="BE12" s="330">
        <v>53.392000000000003</v>
      </c>
      <c r="BF12" s="330">
        <v>54.502000000000002</v>
      </c>
      <c r="BG12" s="330">
        <v>55.521999999999998</v>
      </c>
      <c r="BH12" s="330">
        <v>54.813000000000002</v>
      </c>
      <c r="BI12" s="330">
        <v>56.677</v>
      </c>
      <c r="BJ12" s="330">
        <v>58.478999999999999</v>
      </c>
      <c r="BK12" s="330">
        <v>61.38</v>
      </c>
      <c r="BL12" s="330">
        <v>64.897999999999996</v>
      </c>
      <c r="BM12" s="330">
        <v>66.793000000000006</v>
      </c>
      <c r="BN12" s="330">
        <v>67.763999999999996</v>
      </c>
      <c r="BO12" s="330">
        <v>68.313999999999993</v>
      </c>
      <c r="BP12" s="330">
        <v>68.679000000000002</v>
      </c>
      <c r="BQ12" s="330">
        <v>69.396000000000001</v>
      </c>
      <c r="BR12" s="330">
        <v>70.968000000000004</v>
      </c>
      <c r="BS12" s="330">
        <v>71.709000000000003</v>
      </c>
      <c r="BT12" s="330">
        <v>71.182000000000002</v>
      </c>
      <c r="BU12" s="330">
        <v>72.950999999999993</v>
      </c>
      <c r="BV12" s="330">
        <v>76.084000000000003</v>
      </c>
      <c r="BW12" s="330">
        <v>76.893000000000001</v>
      </c>
      <c r="BX12" s="330">
        <v>76.897999999999996</v>
      </c>
      <c r="BY12" s="330">
        <v>78.488</v>
      </c>
      <c r="BZ12" s="330">
        <v>81.206000000000003</v>
      </c>
      <c r="CA12" s="330">
        <v>84.319000000000003</v>
      </c>
      <c r="CB12" s="330">
        <v>86.945999999999998</v>
      </c>
      <c r="CC12" s="330">
        <v>89.504999999999995</v>
      </c>
      <c r="CD12" s="330">
        <v>94.506</v>
      </c>
      <c r="CE12" s="330">
        <v>92</v>
      </c>
      <c r="CF12" s="330">
        <v>94.790999999999997</v>
      </c>
      <c r="CG12" s="330">
        <v>100.417</v>
      </c>
      <c r="CH12" s="330">
        <v>102.831</v>
      </c>
      <c r="CI12" s="330">
        <v>102.895</v>
      </c>
      <c r="CJ12" s="330">
        <v>103.40900000000001</v>
      </c>
      <c r="CK12" s="330">
        <v>99.734999999999999</v>
      </c>
      <c r="CL12" s="330">
        <v>98.405000000000001</v>
      </c>
      <c r="CM12" s="330">
        <v>100</v>
      </c>
      <c r="CN12" s="330">
        <v>101.935</v>
      </c>
      <c r="CO12" s="330">
        <v>101.848</v>
      </c>
      <c r="CP12" s="330">
        <v>101.15</v>
      </c>
      <c r="CQ12" s="330">
        <v>105.83</v>
      </c>
      <c r="CR12" s="330">
        <v>116.26900000000001</v>
      </c>
      <c r="CS12" s="330">
        <v>118.956</v>
      </c>
      <c r="CT12" s="330">
        <v>119.49299999999999</v>
      </c>
      <c r="CU12" s="330">
        <v>120.505</v>
      </c>
    </row>
    <row r="13" spans="1:103" x14ac:dyDescent="0.35">
      <c r="A13" s="330" t="s">
        <v>755</v>
      </c>
      <c r="B13" s="330" t="s">
        <v>756</v>
      </c>
      <c r="C13" s="330">
        <v>6.0679999999999996</v>
      </c>
      <c r="D13" s="330">
        <v>5.8940000000000001</v>
      </c>
      <c r="E13" s="330">
        <v>5.4790000000000001</v>
      </c>
      <c r="F13" s="330">
        <v>4.95</v>
      </c>
      <c r="G13" s="330">
        <v>4.6390000000000002</v>
      </c>
      <c r="H13" s="330">
        <v>4.58</v>
      </c>
      <c r="I13" s="330">
        <v>4.68</v>
      </c>
      <c r="J13" s="330">
        <v>4.7560000000000002</v>
      </c>
      <c r="K13" s="330">
        <v>4.9329999999999998</v>
      </c>
      <c r="L13" s="330">
        <v>4.9379999999999997</v>
      </c>
      <c r="M13" s="330">
        <v>4.9240000000000004</v>
      </c>
      <c r="N13" s="330">
        <v>4.9630000000000001</v>
      </c>
      <c r="O13" s="330">
        <v>5.1390000000000002</v>
      </c>
      <c r="P13" s="330">
        <v>5.5010000000000003</v>
      </c>
      <c r="Q13" s="330">
        <v>5.8449999999999998</v>
      </c>
      <c r="R13" s="330">
        <v>6.1130000000000004</v>
      </c>
      <c r="S13" s="330">
        <v>6.3129999999999997</v>
      </c>
      <c r="T13" s="330">
        <v>6.6959999999999997</v>
      </c>
      <c r="U13" s="330">
        <v>7.1840000000000002</v>
      </c>
      <c r="V13" s="330">
        <v>7.5629999999999997</v>
      </c>
      <c r="W13" s="330">
        <v>7.6909999999999998</v>
      </c>
      <c r="X13" s="330">
        <v>7.8879999999999999</v>
      </c>
      <c r="Y13" s="330">
        <v>8.2759999999999998</v>
      </c>
      <c r="Z13" s="330">
        <v>8.5790000000000006</v>
      </c>
      <c r="AA13" s="330">
        <v>8.9090000000000007</v>
      </c>
      <c r="AB13" s="330">
        <v>9.1329999999999991</v>
      </c>
      <c r="AC13" s="330">
        <v>9.2880000000000003</v>
      </c>
      <c r="AD13" s="330">
        <v>9.5079999999999991</v>
      </c>
      <c r="AE13" s="330">
        <v>9.7859999999999996</v>
      </c>
      <c r="AF13" s="330">
        <v>10.028</v>
      </c>
      <c r="AG13" s="330">
        <v>10.297000000000001</v>
      </c>
      <c r="AH13" s="330">
        <v>10.571</v>
      </c>
      <c r="AI13" s="330">
        <v>10.759</v>
      </c>
      <c r="AJ13" s="330">
        <v>10.962999999999999</v>
      </c>
      <c r="AK13" s="330">
        <v>11.138</v>
      </c>
      <c r="AL13" s="330">
        <v>11.342000000000001</v>
      </c>
      <c r="AM13" s="330">
        <v>11.553000000000001</v>
      </c>
      <c r="AN13" s="330">
        <v>11.885999999999999</v>
      </c>
      <c r="AO13" s="330">
        <v>12.28</v>
      </c>
      <c r="AP13" s="330">
        <v>12.815</v>
      </c>
      <c r="AQ13" s="330">
        <v>13.476000000000001</v>
      </c>
      <c r="AR13" s="330">
        <v>14.223000000000001</v>
      </c>
      <c r="AS13" s="330">
        <v>14.999000000000001</v>
      </c>
      <c r="AT13" s="330">
        <v>15.634</v>
      </c>
      <c r="AU13" s="330">
        <v>16.388999999999999</v>
      </c>
      <c r="AV13" s="330">
        <v>17.777999999999999</v>
      </c>
      <c r="AW13" s="330">
        <v>19.302</v>
      </c>
      <c r="AX13" s="330">
        <v>20.640999999999998</v>
      </c>
      <c r="AY13" s="330">
        <v>22.202999999999999</v>
      </c>
      <c r="AZ13" s="330">
        <v>23.91</v>
      </c>
      <c r="BA13" s="330">
        <v>25.914999999999999</v>
      </c>
      <c r="BB13" s="330">
        <v>28.61</v>
      </c>
      <c r="BC13" s="330">
        <v>31.541</v>
      </c>
      <c r="BD13" s="330">
        <v>34.017000000000003</v>
      </c>
      <c r="BE13" s="330">
        <v>36.106000000000002</v>
      </c>
      <c r="BF13" s="330">
        <v>37.984999999999999</v>
      </c>
      <c r="BG13" s="330">
        <v>39.843000000000004</v>
      </c>
      <c r="BH13" s="330">
        <v>41.48</v>
      </c>
      <c r="BI13" s="330">
        <v>42.725999999999999</v>
      </c>
      <c r="BJ13" s="330">
        <v>44.768999999999998</v>
      </c>
      <c r="BK13" s="330">
        <v>46.88</v>
      </c>
      <c r="BL13" s="330">
        <v>49.029000000000003</v>
      </c>
      <c r="BM13" s="330">
        <v>50.945999999999998</v>
      </c>
      <c r="BN13" s="330">
        <v>52.758000000000003</v>
      </c>
      <c r="BO13" s="330">
        <v>54.582000000000001</v>
      </c>
      <c r="BP13" s="330">
        <v>56.066000000000003</v>
      </c>
      <c r="BQ13" s="330">
        <v>57.631999999999998</v>
      </c>
      <c r="BR13" s="330">
        <v>59.213999999999999</v>
      </c>
      <c r="BS13" s="330">
        <v>60.883000000000003</v>
      </c>
      <c r="BT13" s="330">
        <v>62.171999999999997</v>
      </c>
      <c r="BU13" s="330">
        <v>63.408999999999999</v>
      </c>
      <c r="BV13" s="330">
        <v>65.209999999999994</v>
      </c>
      <c r="BW13" s="330">
        <v>67.292000000000002</v>
      </c>
      <c r="BX13" s="330">
        <v>69.033000000000001</v>
      </c>
      <c r="BY13" s="330">
        <v>71.335999999999999</v>
      </c>
      <c r="BZ13" s="330">
        <v>73.528000000000006</v>
      </c>
      <c r="CA13" s="330">
        <v>75.998000000000005</v>
      </c>
      <c r="CB13" s="330">
        <v>78.75</v>
      </c>
      <c r="CC13" s="330">
        <v>81.388000000000005</v>
      </c>
      <c r="CD13" s="330">
        <v>83.783000000000001</v>
      </c>
      <c r="CE13" s="330">
        <v>84.432000000000002</v>
      </c>
      <c r="CF13" s="330">
        <v>86.076999999999998</v>
      </c>
      <c r="CG13" s="330">
        <v>87.742000000000004</v>
      </c>
      <c r="CH13" s="330">
        <v>89.647999999999996</v>
      </c>
      <c r="CI13" s="330">
        <v>91.659000000000006</v>
      </c>
      <c r="CJ13" s="330">
        <v>93.795000000000002</v>
      </c>
      <c r="CK13" s="330">
        <v>95.462000000000003</v>
      </c>
      <c r="CL13" s="330">
        <v>97.629000000000005</v>
      </c>
      <c r="CM13" s="330">
        <v>100</v>
      </c>
      <c r="CN13" s="330">
        <v>102.626</v>
      </c>
      <c r="CO13" s="330">
        <v>104.965</v>
      </c>
      <c r="CP13" s="330">
        <v>107.08799999999999</v>
      </c>
      <c r="CQ13" s="330">
        <v>111.044</v>
      </c>
      <c r="CR13" s="330">
        <v>117.13</v>
      </c>
      <c r="CS13" s="330">
        <v>123.09099999999999</v>
      </c>
      <c r="CT13" s="330">
        <v>128.119</v>
      </c>
      <c r="CU13" s="330">
        <v>132.63900000000001</v>
      </c>
    </row>
    <row r="14" spans="1:103" x14ac:dyDescent="0.35">
      <c r="A14" s="330" t="s">
        <v>757</v>
      </c>
      <c r="B14" s="331" t="s">
        <v>758</v>
      </c>
      <c r="C14" s="331">
        <v>13.688000000000001</v>
      </c>
      <c r="D14" s="331">
        <v>13.378</v>
      </c>
      <c r="E14" s="331">
        <v>11.792</v>
      </c>
      <c r="F14" s="331">
        <v>8.8789999999999996</v>
      </c>
      <c r="G14" s="331">
        <v>8.2149999999999999</v>
      </c>
      <c r="H14" s="331">
        <v>9.375</v>
      </c>
      <c r="I14" s="331">
        <v>9.2439999999999998</v>
      </c>
      <c r="J14" s="331">
        <v>9.3149999999999995</v>
      </c>
      <c r="K14" s="331">
        <v>10.444000000000001</v>
      </c>
      <c r="L14" s="331">
        <v>9.3000000000000007</v>
      </c>
      <c r="M14" s="331">
        <v>9.5210000000000008</v>
      </c>
      <c r="N14" s="331">
        <v>9.9619999999999997</v>
      </c>
      <c r="O14" s="331">
        <v>10.813000000000001</v>
      </c>
      <c r="P14" s="331">
        <v>11.792</v>
      </c>
      <c r="Q14" s="331">
        <v>11.9</v>
      </c>
      <c r="R14" s="331">
        <v>12.361000000000001</v>
      </c>
      <c r="S14" s="331">
        <v>12.973000000000001</v>
      </c>
      <c r="T14" s="331">
        <v>14.430999999999999</v>
      </c>
      <c r="U14" s="331">
        <v>16.805</v>
      </c>
      <c r="V14" s="331">
        <v>18.079999999999998</v>
      </c>
      <c r="W14" s="331">
        <v>18.155999999999999</v>
      </c>
      <c r="X14" s="331">
        <v>18.844000000000001</v>
      </c>
      <c r="Y14" s="331">
        <v>20.87</v>
      </c>
      <c r="Z14" s="331">
        <v>20.74</v>
      </c>
      <c r="AA14" s="331">
        <v>20.713999999999999</v>
      </c>
      <c r="AB14" s="331">
        <v>20.725000000000001</v>
      </c>
      <c r="AC14" s="331">
        <v>21.38</v>
      </c>
      <c r="AD14" s="331">
        <v>22.581</v>
      </c>
      <c r="AE14" s="331">
        <v>23.103000000000002</v>
      </c>
      <c r="AF14" s="331">
        <v>23.097999999999999</v>
      </c>
      <c r="AG14" s="331">
        <v>23.396999999999998</v>
      </c>
      <c r="AH14" s="331">
        <v>23.530999999999999</v>
      </c>
      <c r="AI14" s="331">
        <v>23.484999999999999</v>
      </c>
      <c r="AJ14" s="331">
        <v>23.509</v>
      </c>
      <c r="AK14" s="331">
        <v>23.446999999999999</v>
      </c>
      <c r="AL14" s="331">
        <v>23.597999999999999</v>
      </c>
      <c r="AM14" s="331">
        <v>23.963000000000001</v>
      </c>
      <c r="AN14" s="331">
        <v>24.454999999999998</v>
      </c>
      <c r="AO14" s="331">
        <v>25.08</v>
      </c>
      <c r="AP14" s="331">
        <v>26.024000000000001</v>
      </c>
      <c r="AQ14" s="331">
        <v>27.265000000000001</v>
      </c>
      <c r="AR14" s="331">
        <v>28.442</v>
      </c>
      <c r="AS14" s="331">
        <v>29.844999999999999</v>
      </c>
      <c r="AT14" s="331">
        <v>31.091000000000001</v>
      </c>
      <c r="AU14" s="331">
        <v>32.789000000000001</v>
      </c>
      <c r="AV14" s="331">
        <v>36.115000000000002</v>
      </c>
      <c r="AW14" s="331">
        <v>40.384</v>
      </c>
      <c r="AX14" s="331">
        <v>42.609000000000002</v>
      </c>
      <c r="AY14" s="331">
        <v>45.756</v>
      </c>
      <c r="AZ14" s="331">
        <v>49.466999999999999</v>
      </c>
      <c r="BA14" s="331">
        <v>53.914000000000001</v>
      </c>
      <c r="BB14" s="331">
        <v>58.883000000000003</v>
      </c>
      <c r="BC14" s="331">
        <v>64.444999999999993</v>
      </c>
      <c r="BD14" s="331">
        <v>67.840999999999994</v>
      </c>
      <c r="BE14" s="331">
        <v>68.081999999999994</v>
      </c>
      <c r="BF14" s="331">
        <v>68.802999999999997</v>
      </c>
      <c r="BG14" s="331">
        <v>69.649000000000001</v>
      </c>
      <c r="BH14" s="331">
        <v>71.173000000000002</v>
      </c>
      <c r="BI14" s="331">
        <v>72.713999999999999</v>
      </c>
      <c r="BJ14" s="331">
        <v>74.525000000000006</v>
      </c>
      <c r="BK14" s="331">
        <v>76.424000000000007</v>
      </c>
      <c r="BL14" s="331">
        <v>77.957999999999998</v>
      </c>
      <c r="BM14" s="331">
        <v>79.355000000000004</v>
      </c>
      <c r="BN14" s="331">
        <v>79.343000000000004</v>
      </c>
      <c r="BO14" s="331">
        <v>80.274000000000001</v>
      </c>
      <c r="BP14" s="331">
        <v>81.489999999999995</v>
      </c>
      <c r="BQ14" s="331">
        <v>82.79</v>
      </c>
      <c r="BR14" s="331">
        <v>82.754999999999995</v>
      </c>
      <c r="BS14" s="331">
        <v>82.766999999999996</v>
      </c>
      <c r="BT14" s="331">
        <v>82.248999999999995</v>
      </c>
      <c r="BU14" s="331">
        <v>82.38</v>
      </c>
      <c r="BV14" s="331">
        <v>83.373999999999995</v>
      </c>
      <c r="BW14" s="331">
        <v>83.853999999999999</v>
      </c>
      <c r="BX14" s="331">
        <v>84.382999999999996</v>
      </c>
      <c r="BY14" s="331">
        <v>84.942999999999998</v>
      </c>
      <c r="BZ14" s="331">
        <v>87.506</v>
      </c>
      <c r="CA14" s="331">
        <v>91.103999999999999</v>
      </c>
      <c r="CB14" s="331">
        <v>94.179000000000002</v>
      </c>
      <c r="CC14" s="331">
        <v>95.6</v>
      </c>
      <c r="CD14" s="331">
        <v>96.620999999999995</v>
      </c>
      <c r="CE14" s="331">
        <v>95.278000000000006</v>
      </c>
      <c r="CF14" s="331">
        <v>93.781999999999996</v>
      </c>
      <c r="CG14" s="331">
        <v>94.698999999999998</v>
      </c>
      <c r="CH14" s="331">
        <v>95.85</v>
      </c>
      <c r="CI14" s="331">
        <v>96.585999999999999</v>
      </c>
      <c r="CJ14" s="331">
        <v>98.242000000000004</v>
      </c>
      <c r="CK14" s="331">
        <v>98.95</v>
      </c>
      <c r="CL14" s="331">
        <v>98.736999999999995</v>
      </c>
      <c r="CM14" s="331">
        <v>100</v>
      </c>
      <c r="CN14" s="331">
        <v>101.545</v>
      </c>
      <c r="CO14" s="331">
        <v>102.9</v>
      </c>
      <c r="CP14" s="331">
        <v>104.002</v>
      </c>
      <c r="CQ14" s="331">
        <v>107.661</v>
      </c>
      <c r="CR14" s="331">
        <v>115.75700000000001</v>
      </c>
      <c r="CS14" s="331">
        <v>119.059</v>
      </c>
      <c r="CT14" s="331">
        <v>121.001</v>
      </c>
      <c r="CU14" s="331">
        <v>123.20399999999999</v>
      </c>
    </row>
    <row r="15" spans="1:103" x14ac:dyDescent="0.35">
      <c r="A15" s="330" t="s">
        <v>759</v>
      </c>
      <c r="B15" s="330" t="s">
        <v>760</v>
      </c>
      <c r="C15" s="330">
        <v>9.9280000000000008</v>
      </c>
      <c r="D15" s="330">
        <v>9.5229999999999997</v>
      </c>
      <c r="E15" s="330">
        <v>8.8130000000000006</v>
      </c>
      <c r="F15" s="330">
        <v>7.7910000000000004</v>
      </c>
      <c r="G15" s="330">
        <v>7.6139999999999999</v>
      </c>
      <c r="H15" s="330">
        <v>7.98</v>
      </c>
      <c r="I15" s="330">
        <v>8.0239999999999991</v>
      </c>
      <c r="J15" s="330">
        <v>8.1170000000000009</v>
      </c>
      <c r="K15" s="330">
        <v>8.7940000000000005</v>
      </c>
      <c r="L15" s="330">
        <v>8.9039999999999999</v>
      </c>
      <c r="M15" s="330">
        <v>8.8650000000000002</v>
      </c>
      <c r="N15" s="330">
        <v>9.0830000000000002</v>
      </c>
      <c r="O15" s="330">
        <v>9.7449999999999992</v>
      </c>
      <c r="P15" s="330">
        <v>10.698</v>
      </c>
      <c r="Q15" s="330">
        <v>11.254</v>
      </c>
      <c r="R15" s="330">
        <v>11.718999999999999</v>
      </c>
      <c r="S15" s="330">
        <v>12.089</v>
      </c>
      <c r="T15" s="330">
        <v>13.273</v>
      </c>
      <c r="U15" s="330">
        <v>15.526999999999999</v>
      </c>
      <c r="V15" s="330">
        <v>16.826000000000001</v>
      </c>
      <c r="W15" s="330">
        <v>17.148</v>
      </c>
      <c r="X15" s="330">
        <v>17.53</v>
      </c>
      <c r="Y15" s="330">
        <v>19.021999999999998</v>
      </c>
      <c r="Z15" s="330">
        <v>19.475000000000001</v>
      </c>
      <c r="AA15" s="330">
        <v>19.646000000000001</v>
      </c>
      <c r="AB15" s="330">
        <v>19.794</v>
      </c>
      <c r="AC15" s="330">
        <v>20.13</v>
      </c>
      <c r="AD15" s="330">
        <v>21.283000000000001</v>
      </c>
      <c r="AE15" s="330">
        <v>22.010999999999999</v>
      </c>
      <c r="AF15" s="330">
        <v>22.102</v>
      </c>
      <c r="AG15" s="330">
        <v>22.324999999999999</v>
      </c>
      <c r="AH15" s="330">
        <v>22.465</v>
      </c>
      <c r="AI15" s="330">
        <v>22.414000000000001</v>
      </c>
      <c r="AJ15" s="330">
        <v>22.439</v>
      </c>
      <c r="AK15" s="330">
        <v>22.385000000000002</v>
      </c>
      <c r="AL15" s="330">
        <v>22.54</v>
      </c>
      <c r="AM15" s="330">
        <v>22.908999999999999</v>
      </c>
      <c r="AN15" s="330">
        <v>23.388999999999999</v>
      </c>
      <c r="AO15" s="330">
        <v>24.02</v>
      </c>
      <c r="AP15" s="330">
        <v>24.984000000000002</v>
      </c>
      <c r="AQ15" s="330">
        <v>26.225999999999999</v>
      </c>
      <c r="AR15" s="330">
        <v>27.372</v>
      </c>
      <c r="AS15" s="330">
        <v>28.74</v>
      </c>
      <c r="AT15" s="330">
        <v>29.966999999999999</v>
      </c>
      <c r="AU15" s="330">
        <v>31.635000000000002</v>
      </c>
      <c r="AV15" s="330">
        <v>34.764000000000003</v>
      </c>
      <c r="AW15" s="330">
        <v>38.984000000000002</v>
      </c>
      <c r="AX15" s="330">
        <v>41.232999999999997</v>
      </c>
      <c r="AY15" s="330">
        <v>44.396999999999998</v>
      </c>
      <c r="AZ15" s="330">
        <v>48.110999999999997</v>
      </c>
      <c r="BA15" s="330">
        <v>52.433999999999997</v>
      </c>
      <c r="BB15" s="330">
        <v>57.325000000000003</v>
      </c>
      <c r="BC15" s="330">
        <v>62.588999999999999</v>
      </c>
      <c r="BD15" s="330">
        <v>66.105000000000004</v>
      </c>
      <c r="BE15" s="330">
        <v>66.356999999999999</v>
      </c>
      <c r="BF15" s="330">
        <v>67.004000000000005</v>
      </c>
      <c r="BG15" s="330">
        <v>67.98</v>
      </c>
      <c r="BH15" s="330">
        <v>69.644000000000005</v>
      </c>
      <c r="BI15" s="330">
        <v>71.061000000000007</v>
      </c>
      <c r="BJ15" s="330">
        <v>73.043999999999997</v>
      </c>
      <c r="BK15" s="330">
        <v>74.927999999999997</v>
      </c>
      <c r="BL15" s="330">
        <v>76.564999999999998</v>
      </c>
      <c r="BM15" s="330">
        <v>77.906000000000006</v>
      </c>
      <c r="BN15" s="330">
        <v>77.948999999999998</v>
      </c>
      <c r="BO15" s="330">
        <v>78.885999999999996</v>
      </c>
      <c r="BP15" s="330">
        <v>80.099000000000004</v>
      </c>
      <c r="BQ15" s="330">
        <v>81.430000000000007</v>
      </c>
      <c r="BR15" s="330">
        <v>81.498000000000005</v>
      </c>
      <c r="BS15" s="330">
        <v>81.64</v>
      </c>
      <c r="BT15" s="330">
        <v>81.195999999999998</v>
      </c>
      <c r="BU15" s="330">
        <v>81.332999999999998</v>
      </c>
      <c r="BV15" s="330">
        <v>82.486000000000004</v>
      </c>
      <c r="BW15" s="330">
        <v>83.206000000000003</v>
      </c>
      <c r="BX15" s="330">
        <v>83.453000000000003</v>
      </c>
      <c r="BY15" s="330">
        <v>84.183000000000007</v>
      </c>
      <c r="BZ15" s="330">
        <v>86.641999999999996</v>
      </c>
      <c r="CA15" s="330">
        <v>90.222999999999999</v>
      </c>
      <c r="CB15" s="330">
        <v>93.427999999999997</v>
      </c>
      <c r="CC15" s="330">
        <v>94.856999999999999</v>
      </c>
      <c r="CD15" s="330">
        <v>95.658000000000001</v>
      </c>
      <c r="CE15" s="330">
        <v>94.494</v>
      </c>
      <c r="CF15" s="330">
        <v>93.025999999999996</v>
      </c>
      <c r="CG15" s="330">
        <v>93.991</v>
      </c>
      <c r="CH15" s="330">
        <v>95.241</v>
      </c>
      <c r="CI15" s="330">
        <v>96.16</v>
      </c>
      <c r="CJ15" s="330">
        <v>97.923000000000002</v>
      </c>
      <c r="CK15" s="330">
        <v>98.581999999999994</v>
      </c>
      <c r="CL15" s="330">
        <v>98.55</v>
      </c>
      <c r="CM15" s="330">
        <v>100</v>
      </c>
      <c r="CN15" s="330">
        <v>101.568</v>
      </c>
      <c r="CO15" s="330">
        <v>102.961</v>
      </c>
      <c r="CP15" s="330">
        <v>104.245</v>
      </c>
      <c r="CQ15" s="330">
        <v>108.039</v>
      </c>
      <c r="CR15" s="330">
        <v>116.50700000000001</v>
      </c>
      <c r="CS15" s="330">
        <v>120.036</v>
      </c>
      <c r="CT15" s="330">
        <v>122.08499999999999</v>
      </c>
      <c r="CU15" s="330">
        <v>124.358</v>
      </c>
    </row>
    <row r="16" spans="1:103" x14ac:dyDescent="0.35">
      <c r="A16" s="330" t="s">
        <v>761</v>
      </c>
      <c r="B16" s="330" t="s">
        <v>762</v>
      </c>
      <c r="C16" s="330">
        <v>13.359</v>
      </c>
      <c r="D16" s="330">
        <v>12.736000000000001</v>
      </c>
      <c r="E16" s="330">
        <v>11.862</v>
      </c>
      <c r="F16" s="330">
        <v>10.742000000000001</v>
      </c>
      <c r="G16" s="330">
        <v>10.478</v>
      </c>
      <c r="H16" s="330">
        <v>10.818</v>
      </c>
      <c r="I16" s="330">
        <v>10.938000000000001</v>
      </c>
      <c r="J16" s="330">
        <v>10.95</v>
      </c>
      <c r="K16" s="330">
        <v>11.821</v>
      </c>
      <c r="L16" s="330">
        <v>11.898</v>
      </c>
      <c r="M16" s="330">
        <v>11.794</v>
      </c>
      <c r="N16" s="330">
        <v>12.055999999999999</v>
      </c>
      <c r="O16" s="330">
        <v>12.837999999999999</v>
      </c>
      <c r="P16" s="330">
        <v>14.208</v>
      </c>
      <c r="Q16" s="330">
        <v>14.832000000000001</v>
      </c>
      <c r="R16" s="330">
        <v>15.282</v>
      </c>
      <c r="S16" s="330">
        <v>15.677</v>
      </c>
      <c r="T16" s="330">
        <v>17.248999999999999</v>
      </c>
      <c r="U16" s="330">
        <v>19.963999999999999</v>
      </c>
      <c r="V16" s="330">
        <v>21.632000000000001</v>
      </c>
      <c r="W16" s="330">
        <v>22.114000000000001</v>
      </c>
      <c r="X16" s="330">
        <v>22.573</v>
      </c>
      <c r="Y16" s="330">
        <v>24.681999999999999</v>
      </c>
      <c r="Z16" s="330">
        <v>25.222000000000001</v>
      </c>
      <c r="AA16" s="330">
        <v>25.463999999999999</v>
      </c>
      <c r="AB16" s="330">
        <v>25.702000000000002</v>
      </c>
      <c r="AC16" s="330">
        <v>26.082000000000001</v>
      </c>
      <c r="AD16" s="330">
        <v>28.026</v>
      </c>
      <c r="AE16" s="330">
        <v>29.395</v>
      </c>
      <c r="AF16" s="330">
        <v>29.603000000000002</v>
      </c>
      <c r="AG16" s="330">
        <v>30.010999999999999</v>
      </c>
      <c r="AH16" s="330">
        <v>30.190999999999999</v>
      </c>
      <c r="AI16" s="330">
        <v>30.068000000000001</v>
      </c>
      <c r="AJ16" s="330">
        <v>30.094999999999999</v>
      </c>
      <c r="AK16" s="330">
        <v>30.103000000000002</v>
      </c>
      <c r="AL16" s="330">
        <v>30.298999999999999</v>
      </c>
      <c r="AM16" s="330">
        <v>30.635999999999999</v>
      </c>
      <c r="AN16" s="330">
        <v>31.106999999999999</v>
      </c>
      <c r="AO16" s="330">
        <v>31.867999999999999</v>
      </c>
      <c r="AP16" s="330">
        <v>33.003</v>
      </c>
      <c r="AQ16" s="330">
        <v>34.395000000000003</v>
      </c>
      <c r="AR16" s="330">
        <v>36.040999999999997</v>
      </c>
      <c r="AS16" s="330">
        <v>37.729999999999997</v>
      </c>
      <c r="AT16" s="330">
        <v>39.021000000000001</v>
      </c>
      <c r="AU16" s="330">
        <v>40.594999999999999</v>
      </c>
      <c r="AV16" s="330">
        <v>44.542000000000002</v>
      </c>
      <c r="AW16" s="330">
        <v>50.41</v>
      </c>
      <c r="AX16" s="330">
        <v>53.186999999999998</v>
      </c>
      <c r="AY16" s="330">
        <v>56.71</v>
      </c>
      <c r="AZ16" s="330">
        <v>60.502000000000002</v>
      </c>
      <c r="BA16" s="330">
        <v>65.367999999999995</v>
      </c>
      <c r="BB16" s="330">
        <v>71.138000000000005</v>
      </c>
      <c r="BC16" s="330">
        <v>77.902000000000001</v>
      </c>
      <c r="BD16" s="330">
        <v>82.328999999999994</v>
      </c>
      <c r="BE16" s="330">
        <v>82.192999999999998</v>
      </c>
      <c r="BF16" s="330">
        <v>82.453000000000003</v>
      </c>
      <c r="BG16" s="330">
        <v>83.305000000000007</v>
      </c>
      <c r="BH16" s="330">
        <v>84.766000000000005</v>
      </c>
      <c r="BI16" s="330">
        <v>85.733999999999995</v>
      </c>
      <c r="BJ16" s="330">
        <v>87.893000000000001</v>
      </c>
      <c r="BK16" s="330">
        <v>89.936999999999998</v>
      </c>
      <c r="BL16" s="330">
        <v>91.867000000000004</v>
      </c>
      <c r="BM16" s="330">
        <v>93.605999999999995</v>
      </c>
      <c r="BN16" s="330">
        <v>93.3</v>
      </c>
      <c r="BO16" s="330">
        <v>93.5</v>
      </c>
      <c r="BP16" s="330">
        <v>94.238</v>
      </c>
      <c r="BQ16" s="330">
        <v>95.176000000000002</v>
      </c>
      <c r="BR16" s="330">
        <v>94.599000000000004</v>
      </c>
      <c r="BS16" s="330">
        <v>94.07</v>
      </c>
      <c r="BT16" s="330">
        <v>92.593999999999994</v>
      </c>
      <c r="BU16" s="330">
        <v>91.665999999999997</v>
      </c>
      <c r="BV16" s="330">
        <v>92.067999999999998</v>
      </c>
      <c r="BW16" s="330">
        <v>91.697999999999993</v>
      </c>
      <c r="BX16" s="330">
        <v>91.218999999999994</v>
      </c>
      <c r="BY16" s="330">
        <v>90.516999999999996</v>
      </c>
      <c r="BZ16" s="330">
        <v>91.409000000000006</v>
      </c>
      <c r="CA16" s="330">
        <v>93.78</v>
      </c>
      <c r="CB16" s="330">
        <v>96.066000000000003</v>
      </c>
      <c r="CC16" s="330">
        <v>97.62</v>
      </c>
      <c r="CD16" s="330">
        <v>99.131</v>
      </c>
      <c r="CE16" s="330">
        <v>98.488</v>
      </c>
      <c r="CF16" s="330">
        <v>96.694999999999993</v>
      </c>
      <c r="CG16" s="330">
        <v>97.756</v>
      </c>
      <c r="CH16" s="330">
        <v>99.13</v>
      </c>
      <c r="CI16" s="330">
        <v>99.228999999999999</v>
      </c>
      <c r="CJ16" s="330">
        <v>100.17</v>
      </c>
      <c r="CK16" s="330">
        <v>100.345</v>
      </c>
      <c r="CL16" s="330">
        <v>99.38</v>
      </c>
      <c r="CM16" s="330">
        <v>100</v>
      </c>
      <c r="CN16" s="330">
        <v>100.42700000000001</v>
      </c>
      <c r="CO16" s="330">
        <v>101.40600000000001</v>
      </c>
      <c r="CP16" s="330">
        <v>101.97</v>
      </c>
      <c r="CQ16" s="330">
        <v>103.14700000000001</v>
      </c>
      <c r="CR16" s="330">
        <v>109.32299999999999</v>
      </c>
      <c r="CS16" s="330">
        <v>112.79300000000001</v>
      </c>
      <c r="CT16" s="330">
        <v>114.324</v>
      </c>
      <c r="CU16" s="330">
        <v>116.045</v>
      </c>
    </row>
    <row r="17" spans="1:99" x14ac:dyDescent="0.35">
      <c r="A17" s="330" t="s">
        <v>763</v>
      </c>
      <c r="B17" s="330" t="s">
        <v>764</v>
      </c>
      <c r="C17" s="330">
        <v>3.2349999999999999</v>
      </c>
      <c r="D17" s="330">
        <v>3.0619999999999998</v>
      </c>
      <c r="E17" s="330">
        <v>2.802</v>
      </c>
      <c r="F17" s="330">
        <v>2.4319999999999999</v>
      </c>
      <c r="G17" s="330">
        <v>2.4569999999999999</v>
      </c>
      <c r="H17" s="330">
        <v>2.464</v>
      </c>
      <c r="I17" s="330">
        <v>2.5790000000000002</v>
      </c>
      <c r="J17" s="330">
        <v>2.5750000000000002</v>
      </c>
      <c r="K17" s="330">
        <v>2.9260000000000002</v>
      </c>
      <c r="L17" s="330">
        <v>2.871</v>
      </c>
      <c r="M17" s="330">
        <v>2.839</v>
      </c>
      <c r="N17" s="330">
        <v>2.8849999999999998</v>
      </c>
      <c r="O17" s="330">
        <v>3.0870000000000002</v>
      </c>
      <c r="P17" s="330">
        <v>3.444</v>
      </c>
      <c r="Q17" s="330">
        <v>3.7429999999999999</v>
      </c>
      <c r="R17" s="330">
        <v>3.8260000000000001</v>
      </c>
      <c r="S17" s="330">
        <v>3.996</v>
      </c>
      <c r="T17" s="330">
        <v>4.476</v>
      </c>
      <c r="U17" s="330">
        <v>5.4249999999999998</v>
      </c>
      <c r="V17" s="330">
        <v>6.0350000000000001</v>
      </c>
      <c r="W17" s="330">
        <v>6.0140000000000002</v>
      </c>
      <c r="X17" s="330">
        <v>6.0890000000000004</v>
      </c>
      <c r="Y17" s="330">
        <v>6.7910000000000004</v>
      </c>
      <c r="Z17" s="330">
        <v>6.9710000000000001</v>
      </c>
      <c r="AA17" s="330">
        <v>7.1079999999999997</v>
      </c>
      <c r="AB17" s="330">
        <v>7.0209999999999999</v>
      </c>
      <c r="AC17" s="330">
        <v>7.1619999999999999</v>
      </c>
      <c r="AD17" s="330">
        <v>7.7750000000000004</v>
      </c>
      <c r="AE17" s="330">
        <v>8.1080000000000005</v>
      </c>
      <c r="AF17" s="330">
        <v>7.9779999999999998</v>
      </c>
      <c r="AG17" s="330">
        <v>8.0220000000000002</v>
      </c>
      <c r="AH17" s="330">
        <v>8.0120000000000005</v>
      </c>
      <c r="AI17" s="330">
        <v>7.9630000000000001</v>
      </c>
      <c r="AJ17" s="330">
        <v>8.0259999999999998</v>
      </c>
      <c r="AK17" s="330">
        <v>8.0950000000000006</v>
      </c>
      <c r="AL17" s="330">
        <v>8.2100000000000009</v>
      </c>
      <c r="AM17" s="330">
        <v>8.4489999999999998</v>
      </c>
      <c r="AN17" s="330">
        <v>8.7530000000000001</v>
      </c>
      <c r="AO17" s="330">
        <v>9.0250000000000004</v>
      </c>
      <c r="AP17" s="330">
        <v>9.4789999999999992</v>
      </c>
      <c r="AQ17" s="330">
        <v>10.103</v>
      </c>
      <c r="AR17" s="330">
        <v>10.766999999999999</v>
      </c>
      <c r="AS17" s="330">
        <v>11.596</v>
      </c>
      <c r="AT17" s="330">
        <v>12.43</v>
      </c>
      <c r="AU17" s="330">
        <v>13.393000000000001</v>
      </c>
      <c r="AV17" s="330">
        <v>15.244</v>
      </c>
      <c r="AW17" s="330">
        <v>17.065000000000001</v>
      </c>
      <c r="AX17" s="330">
        <v>17.901</v>
      </c>
      <c r="AY17" s="330">
        <v>19.454000000000001</v>
      </c>
      <c r="AZ17" s="330">
        <v>21.332000000000001</v>
      </c>
      <c r="BA17" s="330">
        <v>23.811</v>
      </c>
      <c r="BB17" s="330">
        <v>26.024000000000001</v>
      </c>
      <c r="BC17" s="330">
        <v>29.603000000000002</v>
      </c>
      <c r="BD17" s="330">
        <v>31.939</v>
      </c>
      <c r="BE17" s="330">
        <v>31.125</v>
      </c>
      <c r="BF17" s="330">
        <v>31.396999999999998</v>
      </c>
      <c r="BG17" s="330">
        <v>32.143999999999998</v>
      </c>
      <c r="BH17" s="330">
        <v>32.76</v>
      </c>
      <c r="BI17" s="330">
        <v>33.286000000000001</v>
      </c>
      <c r="BJ17" s="330">
        <v>34.698</v>
      </c>
      <c r="BK17" s="330">
        <v>36.057000000000002</v>
      </c>
      <c r="BL17" s="330">
        <v>37.222000000000001</v>
      </c>
      <c r="BM17" s="330">
        <v>37.896000000000001</v>
      </c>
      <c r="BN17" s="330">
        <v>37.905000000000001</v>
      </c>
      <c r="BO17" s="330">
        <v>39.015999999999998</v>
      </c>
      <c r="BP17" s="330">
        <v>40.393999999999998</v>
      </c>
      <c r="BQ17" s="330">
        <v>42.143000000000001</v>
      </c>
      <c r="BR17" s="330">
        <v>43.213999999999999</v>
      </c>
      <c r="BS17" s="330">
        <v>44.863999999999997</v>
      </c>
      <c r="BT17" s="330">
        <v>46.914999999999999</v>
      </c>
      <c r="BU17" s="330">
        <v>48.356999999999999</v>
      </c>
      <c r="BV17" s="330">
        <v>50.252000000000002</v>
      </c>
      <c r="BW17" s="330">
        <v>52.884</v>
      </c>
      <c r="BX17" s="330">
        <v>55.088999999999999</v>
      </c>
      <c r="BY17" s="330">
        <v>57.057000000000002</v>
      </c>
      <c r="BZ17" s="330">
        <v>61.281999999999996</v>
      </c>
      <c r="CA17" s="330">
        <v>68.840999999999994</v>
      </c>
      <c r="CB17" s="330">
        <v>77.037000000000006</v>
      </c>
      <c r="CC17" s="330">
        <v>81.581000000000003</v>
      </c>
      <c r="CD17" s="330">
        <v>85.751000000000005</v>
      </c>
      <c r="CE17" s="330">
        <v>84.186000000000007</v>
      </c>
      <c r="CF17" s="330">
        <v>83.501999999999995</v>
      </c>
      <c r="CG17" s="330">
        <v>86.244</v>
      </c>
      <c r="CH17" s="330">
        <v>90.209000000000003</v>
      </c>
      <c r="CI17" s="330">
        <v>91.474000000000004</v>
      </c>
      <c r="CJ17" s="330">
        <v>96.212999999999994</v>
      </c>
      <c r="CK17" s="330">
        <v>97.718999999999994</v>
      </c>
      <c r="CL17" s="330">
        <v>97.668000000000006</v>
      </c>
      <c r="CM17" s="330">
        <v>100</v>
      </c>
      <c r="CN17" s="330">
        <v>101.17400000000001</v>
      </c>
      <c r="CO17" s="330">
        <v>105.261</v>
      </c>
      <c r="CP17" s="330">
        <v>106.852</v>
      </c>
      <c r="CQ17" s="330">
        <v>110.42700000000001</v>
      </c>
      <c r="CR17" s="330">
        <v>128.37200000000001</v>
      </c>
      <c r="CS17" s="330">
        <v>135.02799999999999</v>
      </c>
      <c r="CT17" s="330">
        <v>134.69800000000001</v>
      </c>
      <c r="CU17" s="330">
        <v>135.886</v>
      </c>
    </row>
    <row r="18" spans="1:99" x14ac:dyDescent="0.35">
      <c r="A18" s="330" t="s">
        <v>765</v>
      </c>
      <c r="B18" s="330" t="s">
        <v>766</v>
      </c>
      <c r="C18" s="330">
        <v>25.795999999999999</v>
      </c>
      <c r="D18" s="330">
        <v>24.762</v>
      </c>
      <c r="E18" s="330">
        <v>23.471</v>
      </c>
      <c r="F18" s="330">
        <v>22.137</v>
      </c>
      <c r="G18" s="330">
        <v>21.268000000000001</v>
      </c>
      <c r="H18" s="330">
        <v>22.468</v>
      </c>
      <c r="I18" s="330">
        <v>22.268999999999998</v>
      </c>
      <c r="J18" s="330">
        <v>22.234999999999999</v>
      </c>
      <c r="K18" s="330">
        <v>23.507000000000001</v>
      </c>
      <c r="L18" s="330">
        <v>24.073</v>
      </c>
      <c r="M18" s="330">
        <v>23.818999999999999</v>
      </c>
      <c r="N18" s="330">
        <v>24.457000000000001</v>
      </c>
      <c r="O18" s="330">
        <v>26.013000000000002</v>
      </c>
      <c r="P18" s="330">
        <v>28.609000000000002</v>
      </c>
      <c r="Q18" s="330">
        <v>28.757999999999999</v>
      </c>
      <c r="R18" s="330">
        <v>29.311</v>
      </c>
      <c r="S18" s="330">
        <v>29.806000000000001</v>
      </c>
      <c r="T18" s="330">
        <v>32.628</v>
      </c>
      <c r="U18" s="330">
        <v>36.963999999999999</v>
      </c>
      <c r="V18" s="330">
        <v>39.628999999999998</v>
      </c>
      <c r="W18" s="330">
        <v>41.206000000000003</v>
      </c>
      <c r="X18" s="330">
        <v>42.244999999999997</v>
      </c>
      <c r="Y18" s="330">
        <v>45.832999999999998</v>
      </c>
      <c r="Z18" s="330">
        <v>46.756999999999998</v>
      </c>
      <c r="AA18" s="330">
        <v>46.862000000000002</v>
      </c>
      <c r="AB18" s="330">
        <v>47.978999999999999</v>
      </c>
      <c r="AC18" s="330">
        <v>48.448999999999998</v>
      </c>
      <c r="AD18" s="330">
        <v>52.052</v>
      </c>
      <c r="AE18" s="330">
        <v>54.982999999999997</v>
      </c>
      <c r="AF18" s="330">
        <v>56.054000000000002</v>
      </c>
      <c r="AG18" s="330">
        <v>57.081000000000003</v>
      </c>
      <c r="AH18" s="330">
        <v>57.561999999999998</v>
      </c>
      <c r="AI18" s="330">
        <v>57.249000000000002</v>
      </c>
      <c r="AJ18" s="330">
        <v>56.978000000000002</v>
      </c>
      <c r="AK18" s="330">
        <v>56.682000000000002</v>
      </c>
      <c r="AL18" s="330">
        <v>56.652000000000001</v>
      </c>
      <c r="AM18" s="330">
        <v>56.725000000000001</v>
      </c>
      <c r="AN18" s="330">
        <v>56.908999999999999</v>
      </c>
      <c r="AO18" s="330">
        <v>58.21</v>
      </c>
      <c r="AP18" s="330">
        <v>59.808</v>
      </c>
      <c r="AQ18" s="330">
        <v>61.499000000000002</v>
      </c>
      <c r="AR18" s="330">
        <v>63.802</v>
      </c>
      <c r="AS18" s="330">
        <v>65.819999999999993</v>
      </c>
      <c r="AT18" s="330">
        <v>66.683999999999997</v>
      </c>
      <c r="AU18" s="330">
        <v>67.811000000000007</v>
      </c>
      <c r="AV18" s="330">
        <v>72.897000000000006</v>
      </c>
      <c r="AW18" s="330">
        <v>84</v>
      </c>
      <c r="AX18" s="330">
        <v>89.156999999999996</v>
      </c>
      <c r="AY18" s="330">
        <v>94.635000000000005</v>
      </c>
      <c r="AZ18" s="330">
        <v>99.891999999999996</v>
      </c>
      <c r="BA18" s="330">
        <v>106.35299999999999</v>
      </c>
      <c r="BB18" s="330">
        <v>115.715</v>
      </c>
      <c r="BC18" s="330">
        <v>124.182</v>
      </c>
      <c r="BD18" s="330">
        <v>129.28800000000001</v>
      </c>
      <c r="BE18" s="330">
        <v>129.65899999999999</v>
      </c>
      <c r="BF18" s="330">
        <v>128.6</v>
      </c>
      <c r="BG18" s="330">
        <v>128.6</v>
      </c>
      <c r="BH18" s="330">
        <v>131.184</v>
      </c>
      <c r="BI18" s="330">
        <v>132.03800000000001</v>
      </c>
      <c r="BJ18" s="330">
        <v>133.864</v>
      </c>
      <c r="BK18" s="330">
        <v>136.423</v>
      </c>
      <c r="BL18" s="330">
        <v>139.21199999999999</v>
      </c>
      <c r="BM18" s="330">
        <v>141.57</v>
      </c>
      <c r="BN18" s="330">
        <v>141.35499999999999</v>
      </c>
      <c r="BO18" s="330">
        <v>139.703</v>
      </c>
      <c r="BP18" s="330">
        <v>139.45400000000001</v>
      </c>
      <c r="BQ18" s="330">
        <v>137.928</v>
      </c>
      <c r="BR18" s="330">
        <v>134.79900000000001</v>
      </c>
      <c r="BS18" s="330">
        <v>131.083</v>
      </c>
      <c r="BT18" s="330">
        <v>125.20099999999999</v>
      </c>
      <c r="BU18" s="330">
        <v>120.36799999999999</v>
      </c>
      <c r="BV18" s="330">
        <v>117.751</v>
      </c>
      <c r="BW18" s="330">
        <v>114.28100000000001</v>
      </c>
      <c r="BX18" s="330">
        <v>111.883</v>
      </c>
      <c r="BY18" s="330">
        <v>108.99</v>
      </c>
      <c r="BZ18" s="330">
        <v>108.078</v>
      </c>
      <c r="CA18" s="330">
        <v>107.828</v>
      </c>
      <c r="CB18" s="330">
        <v>106.758</v>
      </c>
      <c r="CC18" s="330">
        <v>106.377</v>
      </c>
      <c r="CD18" s="330">
        <v>105.708</v>
      </c>
      <c r="CE18" s="330">
        <v>106.354</v>
      </c>
      <c r="CF18" s="330">
        <v>102.54300000000001</v>
      </c>
      <c r="CG18" s="330">
        <v>102.518</v>
      </c>
      <c r="CH18" s="330">
        <v>103.08799999999999</v>
      </c>
      <c r="CI18" s="330">
        <v>102.857</v>
      </c>
      <c r="CJ18" s="330">
        <v>102.124</v>
      </c>
      <c r="CK18" s="330">
        <v>101.499</v>
      </c>
      <c r="CL18" s="330">
        <v>100.206</v>
      </c>
      <c r="CM18" s="330">
        <v>100</v>
      </c>
      <c r="CN18" s="330">
        <v>99.921000000000006</v>
      </c>
      <c r="CO18" s="330">
        <v>99.981999999999999</v>
      </c>
      <c r="CP18" s="330">
        <v>99.460999999999999</v>
      </c>
      <c r="CQ18" s="330">
        <v>99.908000000000001</v>
      </c>
      <c r="CR18" s="330">
        <v>106.065</v>
      </c>
      <c r="CS18" s="330">
        <v>110.86499999999999</v>
      </c>
      <c r="CT18" s="330">
        <v>113.173</v>
      </c>
      <c r="CU18" s="330">
        <v>115.723</v>
      </c>
    </row>
    <row r="19" spans="1:99" x14ac:dyDescent="0.35">
      <c r="A19" s="330" t="s">
        <v>767</v>
      </c>
      <c r="B19" s="330" t="s">
        <v>768</v>
      </c>
      <c r="C19" s="330">
        <v>16.071999999999999</v>
      </c>
      <c r="D19" s="330">
        <v>15.385999999999999</v>
      </c>
      <c r="E19" s="330">
        <v>14.416</v>
      </c>
      <c r="F19" s="330">
        <v>13.098000000000001</v>
      </c>
      <c r="G19" s="330">
        <v>12.186</v>
      </c>
      <c r="H19" s="330">
        <v>12.403</v>
      </c>
      <c r="I19" s="330">
        <v>12.605</v>
      </c>
      <c r="J19" s="330">
        <v>12.907</v>
      </c>
      <c r="K19" s="330">
        <v>13.409000000000001</v>
      </c>
      <c r="L19" s="330">
        <v>13.345000000000001</v>
      </c>
      <c r="M19" s="330">
        <v>13.417999999999999</v>
      </c>
      <c r="N19" s="330">
        <v>13.628</v>
      </c>
      <c r="O19" s="330">
        <v>14.407</v>
      </c>
      <c r="P19" s="330">
        <v>16.007000000000001</v>
      </c>
      <c r="Q19" s="330">
        <v>17.68</v>
      </c>
      <c r="R19" s="330">
        <v>19.204999999999998</v>
      </c>
      <c r="S19" s="330">
        <v>19.733000000000001</v>
      </c>
      <c r="T19" s="330">
        <v>20.783999999999999</v>
      </c>
      <c r="U19" s="330">
        <v>22.821999999999999</v>
      </c>
      <c r="V19" s="330">
        <v>24.004999999999999</v>
      </c>
      <c r="W19" s="330">
        <v>24.053999999999998</v>
      </c>
      <c r="X19" s="330">
        <v>24.617000000000001</v>
      </c>
      <c r="Y19" s="330">
        <v>26.13</v>
      </c>
      <c r="Z19" s="330">
        <v>26.460999999999999</v>
      </c>
      <c r="AA19" s="330">
        <v>26.922999999999998</v>
      </c>
      <c r="AB19" s="330">
        <v>27.114999999999998</v>
      </c>
      <c r="AC19" s="330">
        <v>27.76</v>
      </c>
      <c r="AD19" s="330">
        <v>28.815000000000001</v>
      </c>
      <c r="AE19" s="330">
        <v>29.73</v>
      </c>
      <c r="AF19" s="330">
        <v>30.451000000000001</v>
      </c>
      <c r="AG19" s="330">
        <v>31.012</v>
      </c>
      <c r="AH19" s="330">
        <v>31.484000000000002</v>
      </c>
      <c r="AI19" s="330">
        <v>31.689</v>
      </c>
      <c r="AJ19" s="330">
        <v>31.843</v>
      </c>
      <c r="AK19" s="330">
        <v>31.884</v>
      </c>
      <c r="AL19" s="330">
        <v>32.375999999999998</v>
      </c>
      <c r="AM19" s="330">
        <v>32.603999999999999</v>
      </c>
      <c r="AN19" s="330">
        <v>33.097999999999999</v>
      </c>
      <c r="AO19" s="330">
        <v>33.601999999999997</v>
      </c>
      <c r="AP19" s="330">
        <v>34.777000000000001</v>
      </c>
      <c r="AQ19" s="330">
        <v>36.308999999999997</v>
      </c>
      <c r="AR19" s="330">
        <v>38.04</v>
      </c>
      <c r="AS19" s="330">
        <v>39.432000000000002</v>
      </c>
      <c r="AT19" s="330">
        <v>40.609000000000002</v>
      </c>
      <c r="AU19" s="330">
        <v>42.618000000000002</v>
      </c>
      <c r="AV19" s="330">
        <v>46.595999999999997</v>
      </c>
      <c r="AW19" s="330">
        <v>50.335999999999999</v>
      </c>
      <c r="AX19" s="330">
        <v>52.561</v>
      </c>
      <c r="AY19" s="330">
        <v>54.868000000000002</v>
      </c>
      <c r="AZ19" s="330">
        <v>57.725000000000001</v>
      </c>
      <c r="BA19" s="330">
        <v>61.561999999999998</v>
      </c>
      <c r="BB19" s="330">
        <v>66.316000000000003</v>
      </c>
      <c r="BC19" s="330">
        <v>71.265000000000001</v>
      </c>
      <c r="BD19" s="330">
        <v>75.311999999999998</v>
      </c>
      <c r="BE19" s="330">
        <v>78.125</v>
      </c>
      <c r="BF19" s="330">
        <v>80.314999999999998</v>
      </c>
      <c r="BG19" s="330">
        <v>81.650999999999996</v>
      </c>
      <c r="BH19" s="330">
        <v>82.286000000000001</v>
      </c>
      <c r="BI19" s="330">
        <v>83.760999999999996</v>
      </c>
      <c r="BJ19" s="330">
        <v>86.381</v>
      </c>
      <c r="BK19" s="330">
        <v>87.494</v>
      </c>
      <c r="BL19" s="330">
        <v>88.403999999999996</v>
      </c>
      <c r="BM19" s="330">
        <v>90.534999999999997</v>
      </c>
      <c r="BN19" s="330">
        <v>89.634</v>
      </c>
      <c r="BO19" s="330">
        <v>90.260999999999996</v>
      </c>
      <c r="BP19" s="330">
        <v>90.731999999999999</v>
      </c>
      <c r="BQ19" s="330">
        <v>93.406000000000006</v>
      </c>
      <c r="BR19" s="330">
        <v>93.817999999999998</v>
      </c>
      <c r="BS19" s="330">
        <v>94.326999999999998</v>
      </c>
      <c r="BT19" s="330">
        <v>93.867999999999995</v>
      </c>
      <c r="BU19" s="330">
        <v>95.382999999999996</v>
      </c>
      <c r="BV19" s="330">
        <v>98.1</v>
      </c>
      <c r="BW19" s="330">
        <v>97.968999999999994</v>
      </c>
      <c r="BX19" s="330">
        <v>96.656999999999996</v>
      </c>
      <c r="BY19" s="330">
        <v>95.927000000000007</v>
      </c>
      <c r="BZ19" s="330">
        <v>95.613</v>
      </c>
      <c r="CA19" s="330">
        <v>96.231999999999999</v>
      </c>
      <c r="CB19" s="330">
        <v>97.372</v>
      </c>
      <c r="CC19" s="330">
        <v>98.570999999999998</v>
      </c>
      <c r="CD19" s="330">
        <v>100.125</v>
      </c>
      <c r="CE19" s="330">
        <v>98.876999999999995</v>
      </c>
      <c r="CF19" s="330">
        <v>98.593000000000004</v>
      </c>
      <c r="CG19" s="330">
        <v>99.807000000000002</v>
      </c>
      <c r="CH19" s="330">
        <v>100.292</v>
      </c>
      <c r="CI19" s="330">
        <v>99.947999999999993</v>
      </c>
      <c r="CJ19" s="330">
        <v>100.32599999999999</v>
      </c>
      <c r="CK19" s="330">
        <v>100.626</v>
      </c>
      <c r="CL19" s="330">
        <v>99.453000000000003</v>
      </c>
      <c r="CM19" s="330">
        <v>100</v>
      </c>
      <c r="CN19" s="330">
        <v>100.58199999999999</v>
      </c>
      <c r="CO19" s="330">
        <v>100.736</v>
      </c>
      <c r="CP19" s="330">
        <v>101.89700000000001</v>
      </c>
      <c r="CQ19" s="330">
        <v>102.60899999999999</v>
      </c>
      <c r="CR19" s="330">
        <v>103.551</v>
      </c>
      <c r="CS19" s="330">
        <v>104.419</v>
      </c>
      <c r="CT19" s="330">
        <v>106.14400000000001</v>
      </c>
      <c r="CU19" s="330">
        <v>107.35299999999999</v>
      </c>
    </row>
    <row r="20" spans="1:99" x14ac:dyDescent="0.35">
      <c r="A20" s="330" t="s">
        <v>769</v>
      </c>
      <c r="B20" s="330" t="s">
        <v>770</v>
      </c>
      <c r="C20" s="330">
        <v>4.1079999999999997</v>
      </c>
      <c r="D20" s="330">
        <v>4.0199999999999996</v>
      </c>
      <c r="E20" s="330">
        <v>3.6389999999999998</v>
      </c>
      <c r="F20" s="330">
        <v>2.9670000000000001</v>
      </c>
      <c r="G20" s="330">
        <v>2.9220000000000002</v>
      </c>
      <c r="H20" s="330">
        <v>3.2450000000000001</v>
      </c>
      <c r="I20" s="330">
        <v>3.1989999999999998</v>
      </c>
      <c r="J20" s="330">
        <v>3.355</v>
      </c>
      <c r="K20" s="330">
        <v>3.6829999999999998</v>
      </c>
      <c r="L20" s="330">
        <v>3.8010000000000002</v>
      </c>
      <c r="M20" s="330">
        <v>3.8250000000000002</v>
      </c>
      <c r="N20" s="330">
        <v>3.94</v>
      </c>
      <c r="O20" s="330">
        <v>4.3049999999999997</v>
      </c>
      <c r="P20" s="330">
        <v>4.6239999999999997</v>
      </c>
      <c r="Q20" s="330">
        <v>5.0030000000000001</v>
      </c>
      <c r="R20" s="330">
        <v>5.4880000000000004</v>
      </c>
      <c r="S20" s="330">
        <v>5.8579999999999997</v>
      </c>
      <c r="T20" s="330">
        <v>6.3579999999999997</v>
      </c>
      <c r="U20" s="330">
        <v>7.6159999999999997</v>
      </c>
      <c r="V20" s="330">
        <v>8.2560000000000002</v>
      </c>
      <c r="W20" s="330">
        <v>8.3659999999999997</v>
      </c>
      <c r="X20" s="330">
        <v>8.5719999999999992</v>
      </c>
      <c r="Y20" s="330">
        <v>9.1859999999999999</v>
      </c>
      <c r="Z20" s="330">
        <v>9.4390000000000001</v>
      </c>
      <c r="AA20" s="330">
        <v>9.5069999999999997</v>
      </c>
      <c r="AB20" s="330">
        <v>9.5449999999999999</v>
      </c>
      <c r="AC20" s="330">
        <v>9.7430000000000003</v>
      </c>
      <c r="AD20" s="330">
        <v>9.9920000000000009</v>
      </c>
      <c r="AE20" s="330">
        <v>10.019</v>
      </c>
      <c r="AF20" s="330">
        <v>9.9939999999999998</v>
      </c>
      <c r="AG20" s="330">
        <v>10.023999999999999</v>
      </c>
      <c r="AH20" s="330">
        <v>10.090999999999999</v>
      </c>
      <c r="AI20" s="330">
        <v>10.106999999999999</v>
      </c>
      <c r="AJ20" s="330">
        <v>10.122999999999999</v>
      </c>
      <c r="AK20" s="330">
        <v>10.044</v>
      </c>
      <c r="AL20" s="330">
        <v>10.122</v>
      </c>
      <c r="AM20" s="330">
        <v>10.406000000000001</v>
      </c>
      <c r="AN20" s="330">
        <v>10.782999999999999</v>
      </c>
      <c r="AO20" s="330">
        <v>11.154999999999999</v>
      </c>
      <c r="AP20" s="330">
        <v>11.744999999999999</v>
      </c>
      <c r="AQ20" s="330">
        <v>12.57</v>
      </c>
      <c r="AR20" s="330">
        <v>12.974</v>
      </c>
      <c r="AS20" s="330">
        <v>13.725</v>
      </c>
      <c r="AT20" s="330">
        <v>14.561</v>
      </c>
      <c r="AU20" s="330">
        <v>15.853999999999999</v>
      </c>
      <c r="AV20" s="330">
        <v>17.492000000000001</v>
      </c>
      <c r="AW20" s="330">
        <v>19.109000000000002</v>
      </c>
      <c r="AX20" s="330">
        <v>20.347000000000001</v>
      </c>
      <c r="AY20" s="330">
        <v>22.425000000000001</v>
      </c>
      <c r="AZ20" s="330">
        <v>25.178999999999998</v>
      </c>
      <c r="BA20" s="330">
        <v>28.023</v>
      </c>
      <c r="BB20" s="330">
        <v>31.045000000000002</v>
      </c>
      <c r="BC20" s="330">
        <v>33.557000000000002</v>
      </c>
      <c r="BD20" s="330">
        <v>35.356000000000002</v>
      </c>
      <c r="BE20" s="330">
        <v>36.192999999999998</v>
      </c>
      <c r="BF20" s="330">
        <v>37.265000000000001</v>
      </c>
      <c r="BG20" s="330">
        <v>38.289000000000001</v>
      </c>
      <c r="BH20" s="330">
        <v>39.978000000000002</v>
      </c>
      <c r="BI20" s="330">
        <v>41.707000000000001</v>
      </c>
      <c r="BJ20" s="330">
        <v>43.158999999999999</v>
      </c>
      <c r="BK20" s="330">
        <v>44.57</v>
      </c>
      <c r="BL20" s="330">
        <v>45.597000000000001</v>
      </c>
      <c r="BM20" s="330">
        <v>46.19</v>
      </c>
      <c r="BN20" s="330">
        <v>46.759</v>
      </c>
      <c r="BO20" s="330">
        <v>48.662999999999997</v>
      </c>
      <c r="BP20" s="330">
        <v>50.423999999999999</v>
      </c>
      <c r="BQ20" s="330">
        <v>52.226999999999997</v>
      </c>
      <c r="BR20" s="330">
        <v>53.347999999999999</v>
      </c>
      <c r="BS20" s="330">
        <v>54.634</v>
      </c>
      <c r="BT20" s="330">
        <v>56.075000000000003</v>
      </c>
      <c r="BU20" s="330">
        <v>58.176000000000002</v>
      </c>
      <c r="BV20" s="330">
        <v>60.758000000000003</v>
      </c>
      <c r="BW20" s="330">
        <v>63.642000000000003</v>
      </c>
      <c r="BX20" s="330">
        <v>65.218000000000004</v>
      </c>
      <c r="BY20" s="330">
        <v>68.308000000000007</v>
      </c>
      <c r="BZ20" s="330">
        <v>73.102000000000004</v>
      </c>
      <c r="CA20" s="330">
        <v>78.337999999999994</v>
      </c>
      <c r="CB20" s="330">
        <v>82.914000000000001</v>
      </c>
      <c r="CC20" s="330">
        <v>84.01</v>
      </c>
      <c r="CD20" s="330">
        <v>82.828000000000003</v>
      </c>
      <c r="CE20" s="330">
        <v>79.930000000000007</v>
      </c>
      <c r="CF20" s="330">
        <v>79.643000000000001</v>
      </c>
      <c r="CG20" s="330">
        <v>80.236000000000004</v>
      </c>
      <c r="CH20" s="330">
        <v>81.006</v>
      </c>
      <c r="CI20" s="330">
        <v>85.094999999999999</v>
      </c>
      <c r="CJ20" s="330">
        <v>89.986000000000004</v>
      </c>
      <c r="CK20" s="330">
        <v>92.453999999999994</v>
      </c>
      <c r="CL20" s="330">
        <v>95.698999999999998</v>
      </c>
      <c r="CM20" s="330">
        <v>100</v>
      </c>
      <c r="CN20" s="330">
        <v>105.64</v>
      </c>
      <c r="CO20" s="330">
        <v>108.6</v>
      </c>
      <c r="CP20" s="330">
        <v>112.51</v>
      </c>
      <c r="CQ20" s="330">
        <v>125.161</v>
      </c>
      <c r="CR20" s="330">
        <v>141.779</v>
      </c>
      <c r="CS20" s="330">
        <v>145.41499999999999</v>
      </c>
      <c r="CT20" s="330">
        <v>149.655</v>
      </c>
      <c r="CU20" s="330">
        <v>154.26400000000001</v>
      </c>
    </row>
    <row r="21" spans="1:99" x14ac:dyDescent="0.35">
      <c r="A21" s="330" t="s">
        <v>771</v>
      </c>
      <c r="B21" s="330" t="s">
        <v>772</v>
      </c>
      <c r="C21" s="330" t="s">
        <v>773</v>
      </c>
      <c r="D21" s="330" t="s">
        <v>773</v>
      </c>
      <c r="E21" s="330" t="s">
        <v>773</v>
      </c>
      <c r="F21" s="330" t="s">
        <v>773</v>
      </c>
      <c r="G21" s="330" t="s">
        <v>773</v>
      </c>
      <c r="H21" s="330" t="s">
        <v>773</v>
      </c>
      <c r="I21" s="330" t="s">
        <v>773</v>
      </c>
      <c r="J21" s="330" t="s">
        <v>773</v>
      </c>
      <c r="K21" s="330" t="s">
        <v>773</v>
      </c>
      <c r="L21" s="330" t="s">
        <v>773</v>
      </c>
      <c r="M21" s="330" t="s">
        <v>773</v>
      </c>
      <c r="N21" s="330" t="s">
        <v>773</v>
      </c>
      <c r="O21" s="330" t="s">
        <v>773</v>
      </c>
      <c r="P21" s="330" t="s">
        <v>773</v>
      </c>
      <c r="Q21" s="330" t="s">
        <v>773</v>
      </c>
      <c r="R21" s="330" t="s">
        <v>773</v>
      </c>
      <c r="S21" s="330" t="s">
        <v>773</v>
      </c>
      <c r="T21" s="330" t="s">
        <v>773</v>
      </c>
      <c r="U21" s="330" t="s">
        <v>773</v>
      </c>
      <c r="V21" s="330" t="s">
        <v>773</v>
      </c>
      <c r="W21" s="330" t="s">
        <v>773</v>
      </c>
      <c r="X21" s="330" t="s">
        <v>773</v>
      </c>
      <c r="Y21" s="330" t="s">
        <v>773</v>
      </c>
      <c r="Z21" s="330" t="s">
        <v>773</v>
      </c>
      <c r="AA21" s="330" t="s">
        <v>773</v>
      </c>
      <c r="AB21" s="330" t="s">
        <v>773</v>
      </c>
      <c r="AC21" s="330" t="s">
        <v>773</v>
      </c>
      <c r="AD21" s="330" t="s">
        <v>773</v>
      </c>
      <c r="AE21" s="330" t="s">
        <v>773</v>
      </c>
      <c r="AF21" s="330" t="s">
        <v>773</v>
      </c>
      <c r="AG21" s="330" t="s">
        <v>773</v>
      </c>
      <c r="AH21" s="330" t="s">
        <v>773</v>
      </c>
      <c r="AI21" s="330" t="s">
        <v>773</v>
      </c>
      <c r="AJ21" s="330" t="s">
        <v>773</v>
      </c>
      <c r="AK21" s="330" t="s">
        <v>773</v>
      </c>
      <c r="AL21" s="330" t="s">
        <v>773</v>
      </c>
      <c r="AM21" s="330" t="s">
        <v>773</v>
      </c>
      <c r="AN21" s="330" t="s">
        <v>773</v>
      </c>
      <c r="AO21" s="330" t="s">
        <v>773</v>
      </c>
      <c r="AP21" s="330" t="s">
        <v>773</v>
      </c>
      <c r="AQ21" s="330" t="s">
        <v>773</v>
      </c>
      <c r="AR21" s="330" t="s">
        <v>773</v>
      </c>
      <c r="AS21" s="330" t="s">
        <v>773</v>
      </c>
      <c r="AT21" s="330" t="s">
        <v>773</v>
      </c>
      <c r="AU21" s="330" t="s">
        <v>773</v>
      </c>
      <c r="AV21" s="330" t="s">
        <v>773</v>
      </c>
      <c r="AW21" s="330" t="s">
        <v>773</v>
      </c>
      <c r="AX21" s="330" t="s">
        <v>773</v>
      </c>
      <c r="AY21" s="330" t="s">
        <v>773</v>
      </c>
      <c r="AZ21" s="330" t="s">
        <v>773</v>
      </c>
      <c r="BA21" s="330" t="s">
        <v>773</v>
      </c>
      <c r="BB21" s="330" t="s">
        <v>773</v>
      </c>
      <c r="BC21" s="330" t="s">
        <v>773</v>
      </c>
      <c r="BD21" s="330" t="s">
        <v>773</v>
      </c>
      <c r="BE21" s="330" t="s">
        <v>773</v>
      </c>
      <c r="BF21" s="330" t="s">
        <v>773</v>
      </c>
      <c r="BG21" s="330" t="s">
        <v>773</v>
      </c>
      <c r="BH21" s="330" t="s">
        <v>773</v>
      </c>
      <c r="BI21" s="330" t="s">
        <v>773</v>
      </c>
      <c r="BJ21" s="330" t="s">
        <v>773</v>
      </c>
      <c r="BK21" s="330" t="s">
        <v>773</v>
      </c>
      <c r="BL21" s="330" t="s">
        <v>773</v>
      </c>
      <c r="BM21" s="330" t="s">
        <v>773</v>
      </c>
      <c r="BN21" s="330" t="s">
        <v>773</v>
      </c>
      <c r="BO21" s="330" t="s">
        <v>773</v>
      </c>
      <c r="BP21" s="330" t="s">
        <v>773</v>
      </c>
      <c r="BQ21" s="330" t="s">
        <v>773</v>
      </c>
      <c r="BR21" s="330" t="s">
        <v>773</v>
      </c>
      <c r="BS21" s="330" t="s">
        <v>773</v>
      </c>
      <c r="BT21" s="330" t="s">
        <v>773</v>
      </c>
      <c r="BU21" s="330" t="s">
        <v>773</v>
      </c>
      <c r="BV21" s="330" t="s">
        <v>773</v>
      </c>
      <c r="BW21" s="330" t="s">
        <v>773</v>
      </c>
      <c r="BX21" s="330" t="s">
        <v>773</v>
      </c>
      <c r="BY21" s="330" t="s">
        <v>773</v>
      </c>
      <c r="BZ21" s="330" t="s">
        <v>773</v>
      </c>
      <c r="CA21" s="330" t="s">
        <v>773</v>
      </c>
      <c r="CB21" s="330" t="s">
        <v>773</v>
      </c>
      <c r="CC21" s="330" t="s">
        <v>773</v>
      </c>
      <c r="CD21" s="330" t="s">
        <v>773</v>
      </c>
      <c r="CE21" s="330" t="s">
        <v>773</v>
      </c>
      <c r="CF21" s="330" t="s">
        <v>773</v>
      </c>
      <c r="CG21" s="330" t="s">
        <v>773</v>
      </c>
      <c r="CH21" s="330" t="s">
        <v>773</v>
      </c>
      <c r="CI21" s="330" t="s">
        <v>773</v>
      </c>
      <c r="CJ21" s="330" t="s">
        <v>773</v>
      </c>
      <c r="CK21" s="330" t="s">
        <v>773</v>
      </c>
      <c r="CL21" s="330" t="s">
        <v>773</v>
      </c>
      <c r="CM21" s="330" t="s">
        <v>773</v>
      </c>
      <c r="CN21" s="330" t="s">
        <v>773</v>
      </c>
      <c r="CO21" s="330" t="s">
        <v>773</v>
      </c>
      <c r="CP21" s="330" t="s">
        <v>773</v>
      </c>
      <c r="CQ21" s="330" t="s">
        <v>773</v>
      </c>
      <c r="CR21" s="330" t="s">
        <v>773</v>
      </c>
      <c r="CS21" s="330" t="s">
        <v>773</v>
      </c>
      <c r="CT21" s="330" t="s">
        <v>773</v>
      </c>
      <c r="CU21" s="330" t="s">
        <v>773</v>
      </c>
    </row>
    <row r="22" spans="1:99" x14ac:dyDescent="0.35">
      <c r="A22" s="330" t="s">
        <v>774</v>
      </c>
      <c r="B22" s="331" t="s">
        <v>775</v>
      </c>
      <c r="C22" s="331" t="s">
        <v>773</v>
      </c>
      <c r="D22" s="331" t="s">
        <v>773</v>
      </c>
      <c r="E22" s="331" t="s">
        <v>773</v>
      </c>
      <c r="F22" s="331" t="s">
        <v>773</v>
      </c>
      <c r="G22" s="331" t="s">
        <v>773</v>
      </c>
      <c r="H22" s="331" t="s">
        <v>773</v>
      </c>
      <c r="I22" s="331" t="s">
        <v>773</v>
      </c>
      <c r="J22" s="331" t="s">
        <v>773</v>
      </c>
      <c r="K22" s="331" t="s">
        <v>773</v>
      </c>
      <c r="L22" s="331" t="s">
        <v>773</v>
      </c>
      <c r="M22" s="331" t="s">
        <v>773</v>
      </c>
      <c r="N22" s="331" t="s">
        <v>773</v>
      </c>
      <c r="O22" s="331" t="s">
        <v>773</v>
      </c>
      <c r="P22" s="331" t="s">
        <v>773</v>
      </c>
      <c r="Q22" s="331" t="s">
        <v>773</v>
      </c>
      <c r="R22" s="331" t="s">
        <v>773</v>
      </c>
      <c r="S22" s="331" t="s">
        <v>773</v>
      </c>
      <c r="T22" s="331" t="s">
        <v>773</v>
      </c>
      <c r="U22" s="331" t="s">
        <v>773</v>
      </c>
      <c r="V22" s="331" t="s">
        <v>773</v>
      </c>
      <c r="W22" s="331" t="s">
        <v>773</v>
      </c>
      <c r="X22" s="331" t="s">
        <v>773</v>
      </c>
      <c r="Y22" s="331" t="s">
        <v>773</v>
      </c>
      <c r="Z22" s="331" t="s">
        <v>773</v>
      </c>
      <c r="AA22" s="331" t="s">
        <v>773</v>
      </c>
      <c r="AB22" s="331" t="s">
        <v>773</v>
      </c>
      <c r="AC22" s="331" t="s">
        <v>773</v>
      </c>
      <c r="AD22" s="331" t="s">
        <v>773</v>
      </c>
      <c r="AE22" s="331" t="s">
        <v>773</v>
      </c>
      <c r="AF22" s="331" t="s">
        <v>773</v>
      </c>
      <c r="AG22" s="331" t="s">
        <v>773</v>
      </c>
      <c r="AH22" s="331" t="s">
        <v>773</v>
      </c>
      <c r="AI22" s="331" t="s">
        <v>773</v>
      </c>
      <c r="AJ22" s="331" t="s">
        <v>773</v>
      </c>
      <c r="AK22" s="331" t="s">
        <v>773</v>
      </c>
      <c r="AL22" s="331" t="s">
        <v>773</v>
      </c>
      <c r="AM22" s="331" t="s">
        <v>773</v>
      </c>
      <c r="AN22" s="331" t="s">
        <v>773</v>
      </c>
      <c r="AO22" s="331" t="s">
        <v>773</v>
      </c>
      <c r="AP22" s="331" t="s">
        <v>773</v>
      </c>
      <c r="AQ22" s="331" t="s">
        <v>773</v>
      </c>
      <c r="AR22" s="331" t="s">
        <v>773</v>
      </c>
      <c r="AS22" s="331" t="s">
        <v>773</v>
      </c>
      <c r="AT22" s="331" t="s">
        <v>773</v>
      </c>
      <c r="AU22" s="331" t="s">
        <v>773</v>
      </c>
      <c r="AV22" s="331" t="s">
        <v>773</v>
      </c>
      <c r="AW22" s="331" t="s">
        <v>773</v>
      </c>
      <c r="AX22" s="331" t="s">
        <v>773</v>
      </c>
      <c r="AY22" s="331" t="s">
        <v>773</v>
      </c>
      <c r="AZ22" s="331" t="s">
        <v>773</v>
      </c>
      <c r="BA22" s="331" t="s">
        <v>773</v>
      </c>
      <c r="BB22" s="331" t="s">
        <v>773</v>
      </c>
      <c r="BC22" s="331" t="s">
        <v>773</v>
      </c>
      <c r="BD22" s="331" t="s">
        <v>773</v>
      </c>
      <c r="BE22" s="331" t="s">
        <v>773</v>
      </c>
      <c r="BF22" s="331" t="s">
        <v>773</v>
      </c>
      <c r="BG22" s="331" t="s">
        <v>773</v>
      </c>
      <c r="BH22" s="331" t="s">
        <v>773</v>
      </c>
      <c r="BI22" s="331" t="s">
        <v>773</v>
      </c>
      <c r="BJ22" s="331" t="s">
        <v>773</v>
      </c>
      <c r="BK22" s="331" t="s">
        <v>773</v>
      </c>
      <c r="BL22" s="331" t="s">
        <v>773</v>
      </c>
      <c r="BM22" s="331" t="s">
        <v>773</v>
      </c>
      <c r="BN22" s="331" t="s">
        <v>773</v>
      </c>
      <c r="BO22" s="331" t="s">
        <v>773</v>
      </c>
      <c r="BP22" s="331" t="s">
        <v>773</v>
      </c>
      <c r="BQ22" s="331" t="s">
        <v>773</v>
      </c>
      <c r="BR22" s="331" t="s">
        <v>773</v>
      </c>
      <c r="BS22" s="331" t="s">
        <v>773</v>
      </c>
      <c r="BT22" s="331" t="s">
        <v>773</v>
      </c>
      <c r="BU22" s="331" t="s">
        <v>773</v>
      </c>
      <c r="BV22" s="331" t="s">
        <v>773</v>
      </c>
      <c r="BW22" s="331" t="s">
        <v>773</v>
      </c>
      <c r="BX22" s="331" t="s">
        <v>773</v>
      </c>
      <c r="BY22" s="331" t="s">
        <v>773</v>
      </c>
      <c r="BZ22" s="331" t="s">
        <v>773</v>
      </c>
      <c r="CA22" s="331" t="s">
        <v>773</v>
      </c>
      <c r="CB22" s="331" t="s">
        <v>773</v>
      </c>
      <c r="CC22" s="331" t="s">
        <v>773</v>
      </c>
      <c r="CD22" s="331" t="s">
        <v>773</v>
      </c>
      <c r="CE22" s="331" t="s">
        <v>773</v>
      </c>
      <c r="CF22" s="331" t="s">
        <v>773</v>
      </c>
      <c r="CG22" s="331" t="s">
        <v>773</v>
      </c>
      <c r="CH22" s="331" t="s">
        <v>773</v>
      </c>
      <c r="CI22" s="331" t="s">
        <v>773</v>
      </c>
      <c r="CJ22" s="331" t="s">
        <v>773</v>
      </c>
      <c r="CK22" s="331" t="s">
        <v>773</v>
      </c>
      <c r="CL22" s="331" t="s">
        <v>773</v>
      </c>
      <c r="CM22" s="331" t="s">
        <v>773</v>
      </c>
      <c r="CN22" s="331" t="s">
        <v>773</v>
      </c>
      <c r="CO22" s="331" t="s">
        <v>773</v>
      </c>
      <c r="CP22" s="331" t="s">
        <v>773</v>
      </c>
      <c r="CQ22" s="331" t="s">
        <v>773</v>
      </c>
      <c r="CR22" s="331" t="s">
        <v>773</v>
      </c>
      <c r="CS22" s="331" t="s">
        <v>773</v>
      </c>
      <c r="CT22" s="331" t="s">
        <v>773</v>
      </c>
      <c r="CU22" s="331" t="s">
        <v>773</v>
      </c>
    </row>
    <row r="23" spans="1:99" x14ac:dyDescent="0.35">
      <c r="A23" s="330" t="s">
        <v>776</v>
      </c>
      <c r="B23" s="330" t="s">
        <v>777</v>
      </c>
      <c r="C23" s="330">
        <v>14.234</v>
      </c>
      <c r="D23" s="330">
        <v>12.885999999999999</v>
      </c>
      <c r="E23" s="330">
        <v>10.14</v>
      </c>
      <c r="F23" s="330">
        <v>8.7940000000000005</v>
      </c>
      <c r="G23" s="330">
        <v>8.7929999999999993</v>
      </c>
      <c r="H23" s="330">
        <v>10.196</v>
      </c>
      <c r="I23" s="330">
        <v>10.455</v>
      </c>
      <c r="J23" s="330">
        <v>10.808</v>
      </c>
      <c r="K23" s="330">
        <v>11.526</v>
      </c>
      <c r="L23" s="330">
        <v>10.996</v>
      </c>
      <c r="M23" s="330">
        <v>10.848000000000001</v>
      </c>
      <c r="N23" s="330">
        <v>11.766</v>
      </c>
      <c r="O23" s="330">
        <v>12.847</v>
      </c>
      <c r="P23" s="330">
        <v>15.528</v>
      </c>
      <c r="Q23" s="330">
        <v>16.986000000000001</v>
      </c>
      <c r="R23" s="330">
        <v>19.131</v>
      </c>
      <c r="S23" s="330">
        <v>18.97</v>
      </c>
      <c r="T23" s="330">
        <v>18.332999999999998</v>
      </c>
      <c r="U23" s="330">
        <v>21.285</v>
      </c>
      <c r="V23" s="330">
        <v>22.420999999999999</v>
      </c>
      <c r="W23" s="330">
        <v>21.082999999999998</v>
      </c>
      <c r="X23" s="330">
        <v>20.53</v>
      </c>
      <c r="Y23" s="330">
        <v>23.196000000000002</v>
      </c>
      <c r="Z23" s="330">
        <v>23.337</v>
      </c>
      <c r="AA23" s="330">
        <v>23.271000000000001</v>
      </c>
      <c r="AB23" s="330">
        <v>22.954999999999998</v>
      </c>
      <c r="AC23" s="330">
        <v>23.151</v>
      </c>
      <c r="AD23" s="330">
        <v>23.925000000000001</v>
      </c>
      <c r="AE23" s="330">
        <v>24.832999999999998</v>
      </c>
      <c r="AF23" s="330">
        <v>24.581</v>
      </c>
      <c r="AG23" s="330">
        <v>24.635999999999999</v>
      </c>
      <c r="AH23" s="330">
        <v>24.981999999999999</v>
      </c>
      <c r="AI23" s="330">
        <v>25.36</v>
      </c>
      <c r="AJ23" s="330">
        <v>25.422000000000001</v>
      </c>
      <c r="AK23" s="330">
        <v>25.372</v>
      </c>
      <c r="AL23" s="330">
        <v>25.574999999999999</v>
      </c>
      <c r="AM23" s="330">
        <v>26.388999999999999</v>
      </c>
      <c r="AN23" s="330">
        <v>27.189</v>
      </c>
      <c r="AO23" s="330">
        <v>28.238</v>
      </c>
      <c r="AP23" s="330">
        <v>28.841999999999999</v>
      </c>
      <c r="AQ23" s="330">
        <v>29.806000000000001</v>
      </c>
      <c r="AR23" s="330">
        <v>30.975000000000001</v>
      </c>
      <c r="AS23" s="330">
        <v>32.106999999999999</v>
      </c>
      <c r="AT23" s="330">
        <v>33.512999999999998</v>
      </c>
      <c r="AU23" s="330">
        <v>37.930999999999997</v>
      </c>
      <c r="AV23" s="330">
        <v>46.713999999999999</v>
      </c>
      <c r="AW23" s="330">
        <v>51.491</v>
      </c>
      <c r="AX23" s="330">
        <v>53.180999999999997</v>
      </c>
      <c r="AY23" s="330">
        <v>55.347999999999999</v>
      </c>
      <c r="AZ23" s="330">
        <v>58.715000000000003</v>
      </c>
      <c r="BA23" s="330">
        <v>65.787000000000006</v>
      </c>
      <c r="BB23" s="330">
        <v>72.462000000000003</v>
      </c>
      <c r="BC23" s="330">
        <v>77.828000000000003</v>
      </c>
      <c r="BD23" s="330">
        <v>78.198999999999998</v>
      </c>
      <c r="BE23" s="330">
        <v>78.518000000000001</v>
      </c>
      <c r="BF23" s="330">
        <v>79.251999999999995</v>
      </c>
      <c r="BG23" s="330">
        <v>76.893000000000001</v>
      </c>
      <c r="BH23" s="330">
        <v>75.61</v>
      </c>
      <c r="BI23" s="330">
        <v>77.28</v>
      </c>
      <c r="BJ23" s="330">
        <v>81.236999999999995</v>
      </c>
      <c r="BK23" s="330">
        <v>82.582999999999998</v>
      </c>
      <c r="BL23" s="330">
        <v>83.048000000000002</v>
      </c>
      <c r="BM23" s="330">
        <v>83.974000000000004</v>
      </c>
      <c r="BN23" s="330">
        <v>83.566000000000003</v>
      </c>
      <c r="BO23" s="330">
        <v>83.703999999999994</v>
      </c>
      <c r="BP23" s="330">
        <v>84.676000000000002</v>
      </c>
      <c r="BQ23" s="330">
        <v>86.569000000000003</v>
      </c>
      <c r="BR23" s="330">
        <v>85.418999999999997</v>
      </c>
      <c r="BS23" s="330">
        <v>83.914000000000001</v>
      </c>
      <c r="BT23" s="330">
        <v>81.927000000000007</v>
      </c>
      <c r="BU23" s="330">
        <v>81.311000000000007</v>
      </c>
      <c r="BV23" s="330">
        <v>82.873000000000005</v>
      </c>
      <c r="BW23" s="330">
        <v>82.222999999999999</v>
      </c>
      <c r="BX23" s="330">
        <v>81.507000000000005</v>
      </c>
      <c r="BY23" s="330">
        <v>82.8</v>
      </c>
      <c r="BZ23" s="330">
        <v>85.817999999999998</v>
      </c>
      <c r="CA23" s="330">
        <v>88.784000000000006</v>
      </c>
      <c r="CB23" s="330">
        <v>91.603999999999999</v>
      </c>
      <c r="CC23" s="330">
        <v>95.058999999999997</v>
      </c>
      <c r="CD23" s="330">
        <v>99.387</v>
      </c>
      <c r="CE23" s="330">
        <v>93.483999999999995</v>
      </c>
      <c r="CF23" s="330">
        <v>97.378</v>
      </c>
      <c r="CG23" s="330">
        <v>103.508</v>
      </c>
      <c r="CH23" s="330">
        <v>104.298</v>
      </c>
      <c r="CI23" s="330">
        <v>104.45699999999999</v>
      </c>
      <c r="CJ23" s="330">
        <v>104.515</v>
      </c>
      <c r="CK23" s="330">
        <v>99.454999999999998</v>
      </c>
      <c r="CL23" s="330">
        <v>97.456999999999994</v>
      </c>
      <c r="CM23" s="330">
        <v>100</v>
      </c>
      <c r="CN23" s="330">
        <v>103.325</v>
      </c>
      <c r="CO23" s="330">
        <v>102.82899999999999</v>
      </c>
      <c r="CP23" s="330">
        <v>100.279</v>
      </c>
      <c r="CQ23" s="330">
        <v>111.82</v>
      </c>
      <c r="CR23" s="330">
        <v>122.83</v>
      </c>
      <c r="CS23" s="330">
        <v>120.949</v>
      </c>
      <c r="CT23" s="330">
        <v>122.09</v>
      </c>
      <c r="CU23" s="330">
        <v>124.072</v>
      </c>
    </row>
    <row r="24" spans="1:99" x14ac:dyDescent="0.35">
      <c r="A24" s="330" t="s">
        <v>778</v>
      </c>
      <c r="B24" s="330" t="s">
        <v>779</v>
      </c>
      <c r="C24" s="330">
        <v>18.187999999999999</v>
      </c>
      <c r="D24" s="330">
        <v>16.27</v>
      </c>
      <c r="E24" s="330">
        <v>12.488</v>
      </c>
      <c r="F24" s="330">
        <v>10.766</v>
      </c>
      <c r="G24" s="330">
        <v>11.263999999999999</v>
      </c>
      <c r="H24" s="330">
        <v>13.177</v>
      </c>
      <c r="I24" s="330">
        <v>13.5</v>
      </c>
      <c r="J24" s="330">
        <v>13.824999999999999</v>
      </c>
      <c r="K24" s="330">
        <v>14.651999999999999</v>
      </c>
      <c r="L24" s="330">
        <v>13.558</v>
      </c>
      <c r="M24" s="330">
        <v>13.260999999999999</v>
      </c>
      <c r="N24" s="330">
        <v>14.22</v>
      </c>
      <c r="O24" s="330">
        <v>15.241</v>
      </c>
      <c r="P24" s="330">
        <v>18.561</v>
      </c>
      <c r="Q24" s="330">
        <v>20.463000000000001</v>
      </c>
      <c r="R24" s="330">
        <v>23.433</v>
      </c>
      <c r="S24" s="330">
        <v>23.338000000000001</v>
      </c>
      <c r="T24" s="330">
        <v>22.15</v>
      </c>
      <c r="U24" s="330">
        <v>26.352</v>
      </c>
      <c r="V24" s="330">
        <v>28.050999999999998</v>
      </c>
      <c r="W24" s="330">
        <v>25.986999999999998</v>
      </c>
      <c r="X24" s="330">
        <v>25.123999999999999</v>
      </c>
      <c r="Y24" s="330">
        <v>28.802</v>
      </c>
      <c r="Z24" s="330">
        <v>28.675999999999998</v>
      </c>
      <c r="AA24" s="330">
        <v>28.385000000000002</v>
      </c>
      <c r="AB24" s="330">
        <v>27.981000000000002</v>
      </c>
      <c r="AC24" s="330">
        <v>28.245999999999999</v>
      </c>
      <c r="AD24" s="330">
        <v>29.317</v>
      </c>
      <c r="AE24" s="330">
        <v>30.271000000000001</v>
      </c>
      <c r="AF24" s="330">
        <v>29.94</v>
      </c>
      <c r="AG24" s="330">
        <v>30.231000000000002</v>
      </c>
      <c r="AH24" s="330">
        <v>30.434000000000001</v>
      </c>
      <c r="AI24" s="330">
        <v>31.013000000000002</v>
      </c>
      <c r="AJ24" s="330">
        <v>30.771000000000001</v>
      </c>
      <c r="AK24" s="330">
        <v>30.672000000000001</v>
      </c>
      <c r="AL24" s="330">
        <v>30.88</v>
      </c>
      <c r="AM24" s="330">
        <v>31.954000000000001</v>
      </c>
      <c r="AN24" s="330">
        <v>33.045000000000002</v>
      </c>
      <c r="AO24" s="330">
        <v>34.43</v>
      </c>
      <c r="AP24" s="330">
        <v>34.960999999999999</v>
      </c>
      <c r="AQ24" s="330">
        <v>36.043999999999997</v>
      </c>
      <c r="AR24" s="330">
        <v>37.674999999999997</v>
      </c>
      <c r="AS24" s="330">
        <v>38.683</v>
      </c>
      <c r="AT24" s="330">
        <v>39.710999999999999</v>
      </c>
      <c r="AU24" s="330">
        <v>45.970999999999997</v>
      </c>
      <c r="AV24" s="330">
        <v>57.841000000000001</v>
      </c>
      <c r="AW24" s="330">
        <v>64.201999999999998</v>
      </c>
      <c r="AX24" s="330">
        <v>65.942999999999998</v>
      </c>
      <c r="AY24" s="330">
        <v>68.394000000000005</v>
      </c>
      <c r="AZ24" s="330">
        <v>72.322999999999993</v>
      </c>
      <c r="BA24" s="330">
        <v>81.704999999999998</v>
      </c>
      <c r="BB24" s="330">
        <v>89.531000000000006</v>
      </c>
      <c r="BC24" s="330">
        <v>95.89</v>
      </c>
      <c r="BD24" s="330">
        <v>95.102999999999994</v>
      </c>
      <c r="BE24" s="330">
        <v>94.55</v>
      </c>
      <c r="BF24" s="330">
        <v>95.402000000000001</v>
      </c>
      <c r="BG24" s="330">
        <v>90.643000000000001</v>
      </c>
      <c r="BH24" s="330">
        <v>87.531999999999996</v>
      </c>
      <c r="BI24" s="330">
        <v>89.488</v>
      </c>
      <c r="BJ24" s="330">
        <v>95.004999999999995</v>
      </c>
      <c r="BK24" s="330">
        <v>96.22</v>
      </c>
      <c r="BL24" s="330">
        <v>95.370999999999995</v>
      </c>
      <c r="BM24" s="330">
        <v>95.326999999999998</v>
      </c>
      <c r="BN24" s="330">
        <v>93.840999999999994</v>
      </c>
      <c r="BO24" s="330">
        <v>93.369</v>
      </c>
      <c r="BP24" s="330">
        <v>94.436000000000007</v>
      </c>
      <c r="BQ24" s="330">
        <v>96.677000000000007</v>
      </c>
      <c r="BR24" s="330">
        <v>94.225999999999999</v>
      </c>
      <c r="BS24" s="330">
        <v>91.613</v>
      </c>
      <c r="BT24" s="330">
        <v>88.724999999999994</v>
      </c>
      <c r="BU24" s="330">
        <v>87.509</v>
      </c>
      <c r="BV24" s="330">
        <v>89.024000000000001</v>
      </c>
      <c r="BW24" s="330">
        <v>88.501999999999995</v>
      </c>
      <c r="BX24" s="330">
        <v>87.581000000000003</v>
      </c>
      <c r="BY24" s="330">
        <v>88.405000000000001</v>
      </c>
      <c r="BZ24" s="330">
        <v>91.512</v>
      </c>
      <c r="CA24" s="330">
        <v>94.418000000000006</v>
      </c>
      <c r="CB24" s="330">
        <v>97.331999999999994</v>
      </c>
      <c r="CC24" s="330">
        <v>101.139</v>
      </c>
      <c r="CD24" s="330">
        <v>106.345</v>
      </c>
      <c r="CE24" s="330">
        <v>98.82</v>
      </c>
      <c r="CF24" s="330">
        <v>103.28400000000001</v>
      </c>
      <c r="CG24" s="330">
        <v>110.86799999999999</v>
      </c>
      <c r="CH24" s="330">
        <v>111.092</v>
      </c>
      <c r="CI24" s="330">
        <v>110.34399999999999</v>
      </c>
      <c r="CJ24" s="330">
        <v>109.20699999999999</v>
      </c>
      <c r="CK24" s="330">
        <v>101.423</v>
      </c>
      <c r="CL24" s="330">
        <v>97.466999999999999</v>
      </c>
      <c r="CM24" s="330">
        <v>100</v>
      </c>
      <c r="CN24" s="330">
        <v>103.545</v>
      </c>
      <c r="CO24" s="330">
        <v>101.85</v>
      </c>
      <c r="CP24" s="330">
        <v>97.869</v>
      </c>
      <c r="CQ24" s="330">
        <v>111.702</v>
      </c>
      <c r="CR24" s="330">
        <v>124.724</v>
      </c>
      <c r="CS24" s="330">
        <v>119.361</v>
      </c>
      <c r="CT24" s="330">
        <v>118.92</v>
      </c>
      <c r="CU24" s="330">
        <v>119.877</v>
      </c>
    </row>
    <row r="25" spans="1:99" x14ac:dyDescent="0.35">
      <c r="A25" s="330" t="s">
        <v>780</v>
      </c>
      <c r="B25" s="330" t="s">
        <v>781</v>
      </c>
      <c r="C25" s="330">
        <v>6.22</v>
      </c>
      <c r="D25" s="330">
        <v>6.2210000000000001</v>
      </c>
      <c r="E25" s="330">
        <v>5.7930000000000001</v>
      </c>
      <c r="F25" s="330">
        <v>5.2</v>
      </c>
      <c r="G25" s="330">
        <v>3.9430000000000001</v>
      </c>
      <c r="H25" s="330">
        <v>4.3</v>
      </c>
      <c r="I25" s="330">
        <v>4.4370000000000003</v>
      </c>
      <c r="J25" s="330">
        <v>4.87</v>
      </c>
      <c r="K25" s="330">
        <v>5.3920000000000003</v>
      </c>
      <c r="L25" s="330">
        <v>6.125</v>
      </c>
      <c r="M25" s="330">
        <v>6.3410000000000002</v>
      </c>
      <c r="N25" s="330">
        <v>7.3070000000000004</v>
      </c>
      <c r="O25" s="330">
        <v>8.7609999999999992</v>
      </c>
      <c r="P25" s="330">
        <v>10.298</v>
      </c>
      <c r="Q25" s="330">
        <v>11.013</v>
      </c>
      <c r="R25" s="330">
        <v>11.862</v>
      </c>
      <c r="S25" s="330">
        <v>11.586</v>
      </c>
      <c r="T25" s="330">
        <v>12.048999999999999</v>
      </c>
      <c r="U25" s="330">
        <v>12.244999999999999</v>
      </c>
      <c r="V25" s="330">
        <v>12.112</v>
      </c>
      <c r="W25" s="330">
        <v>12.379</v>
      </c>
      <c r="X25" s="330">
        <v>12.500999999999999</v>
      </c>
      <c r="Y25" s="330">
        <v>13.157999999999999</v>
      </c>
      <c r="Z25" s="330">
        <v>13.91</v>
      </c>
      <c r="AA25" s="330">
        <v>14.324999999999999</v>
      </c>
      <c r="AB25" s="330">
        <v>14.17</v>
      </c>
      <c r="AC25" s="330">
        <v>14.234999999999999</v>
      </c>
      <c r="AD25" s="330">
        <v>14.422000000000001</v>
      </c>
      <c r="AE25" s="330">
        <v>15.327</v>
      </c>
      <c r="AF25" s="330">
        <v>15.223000000000001</v>
      </c>
      <c r="AG25" s="330">
        <v>14.877000000000001</v>
      </c>
      <c r="AH25" s="330">
        <v>15.398</v>
      </c>
      <c r="AI25" s="330">
        <v>15.446</v>
      </c>
      <c r="AJ25" s="330">
        <v>15.977</v>
      </c>
      <c r="AK25" s="330">
        <v>16.004999999999999</v>
      </c>
      <c r="AL25" s="330">
        <v>16.193000000000001</v>
      </c>
      <c r="AM25" s="330">
        <v>16.559999999999999</v>
      </c>
      <c r="AN25" s="330">
        <v>16.866</v>
      </c>
      <c r="AO25" s="330">
        <v>17.344999999999999</v>
      </c>
      <c r="AP25" s="330">
        <v>18.027000000000001</v>
      </c>
      <c r="AQ25" s="330">
        <v>18.759</v>
      </c>
      <c r="AR25" s="330">
        <v>19.161000000000001</v>
      </c>
      <c r="AS25" s="330">
        <v>20.414999999999999</v>
      </c>
      <c r="AT25" s="330">
        <v>22.318999999999999</v>
      </c>
      <c r="AU25" s="330">
        <v>23.427</v>
      </c>
      <c r="AV25" s="330">
        <v>26.385000000000002</v>
      </c>
      <c r="AW25" s="330">
        <v>28.207000000000001</v>
      </c>
      <c r="AX25" s="330">
        <v>29.838999999999999</v>
      </c>
      <c r="AY25" s="330">
        <v>31.513999999999999</v>
      </c>
      <c r="AZ25" s="330">
        <v>33.869</v>
      </c>
      <c r="BA25" s="330">
        <v>36.655999999999999</v>
      </c>
      <c r="BB25" s="330">
        <v>41.325000000000003</v>
      </c>
      <c r="BC25" s="330">
        <v>44.927999999999997</v>
      </c>
      <c r="BD25" s="330">
        <v>47.470999999999997</v>
      </c>
      <c r="BE25" s="330">
        <v>49.360999999999997</v>
      </c>
      <c r="BF25" s="330">
        <v>49.877000000000002</v>
      </c>
      <c r="BG25" s="330">
        <v>51.673000000000002</v>
      </c>
      <c r="BH25" s="330">
        <v>53.438000000000002</v>
      </c>
      <c r="BI25" s="330">
        <v>54.582999999999998</v>
      </c>
      <c r="BJ25" s="330">
        <v>55.798999999999999</v>
      </c>
      <c r="BK25" s="330">
        <v>57.344000000000001</v>
      </c>
      <c r="BL25" s="330">
        <v>60.061</v>
      </c>
      <c r="BM25" s="330">
        <v>62.625</v>
      </c>
      <c r="BN25" s="330">
        <v>64.096999999999994</v>
      </c>
      <c r="BO25" s="330">
        <v>65.3</v>
      </c>
      <c r="BP25" s="330">
        <v>66.091999999999999</v>
      </c>
      <c r="BQ25" s="330">
        <v>67.335999999999999</v>
      </c>
      <c r="BR25" s="330">
        <v>68.662999999999997</v>
      </c>
      <c r="BS25" s="330">
        <v>69.358999999999995</v>
      </c>
      <c r="BT25" s="330">
        <v>69.215000000000003</v>
      </c>
      <c r="BU25" s="330">
        <v>69.819000000000003</v>
      </c>
      <c r="BV25" s="330">
        <v>71.501000000000005</v>
      </c>
      <c r="BW25" s="330">
        <v>70.578000000000003</v>
      </c>
      <c r="BX25" s="330">
        <v>70.263999999999996</v>
      </c>
      <c r="BY25" s="330">
        <v>72.492999999999995</v>
      </c>
      <c r="BZ25" s="330">
        <v>75.363</v>
      </c>
      <c r="CA25" s="330">
        <v>78.477999999999994</v>
      </c>
      <c r="CB25" s="330">
        <v>81.141000000000005</v>
      </c>
      <c r="CC25" s="330">
        <v>83.933000000000007</v>
      </c>
      <c r="CD25" s="330">
        <v>86.594999999999999</v>
      </c>
      <c r="CE25" s="330">
        <v>83.622</v>
      </c>
      <c r="CF25" s="330">
        <v>86.495000000000005</v>
      </c>
      <c r="CG25" s="330">
        <v>89.956999999999994</v>
      </c>
      <c r="CH25" s="330">
        <v>91.79</v>
      </c>
      <c r="CI25" s="330">
        <v>93.61</v>
      </c>
      <c r="CJ25" s="330">
        <v>95.88</v>
      </c>
      <c r="CK25" s="330">
        <v>95.849000000000004</v>
      </c>
      <c r="CL25" s="330">
        <v>97.44</v>
      </c>
      <c r="CM25" s="330">
        <v>100</v>
      </c>
      <c r="CN25" s="330">
        <v>102.91</v>
      </c>
      <c r="CO25" s="330">
        <v>104.694</v>
      </c>
      <c r="CP25" s="330">
        <v>104.985</v>
      </c>
      <c r="CQ25" s="330">
        <v>111.68899999999999</v>
      </c>
      <c r="CR25" s="330">
        <v>118.47</v>
      </c>
      <c r="CS25" s="330">
        <v>123.61799999999999</v>
      </c>
      <c r="CT25" s="330">
        <v>127.848</v>
      </c>
      <c r="CU25" s="330">
        <v>131.78100000000001</v>
      </c>
    </row>
    <row r="26" spans="1:99" x14ac:dyDescent="0.35">
      <c r="A26" s="330" t="s">
        <v>782</v>
      </c>
      <c r="B26" s="330" t="s">
        <v>783</v>
      </c>
      <c r="C26" s="330">
        <v>10.714</v>
      </c>
      <c r="D26" s="330">
        <v>9.1359999999999992</v>
      </c>
      <c r="E26" s="330">
        <v>7.383</v>
      </c>
      <c r="F26" s="330">
        <v>5.9180000000000001</v>
      </c>
      <c r="G26" s="330">
        <v>5.6719999999999997</v>
      </c>
      <c r="H26" s="330">
        <v>6.444</v>
      </c>
      <c r="I26" s="330">
        <v>6.55</v>
      </c>
      <c r="J26" s="330">
        <v>7.0090000000000003</v>
      </c>
      <c r="K26" s="330">
        <v>7.8220000000000001</v>
      </c>
      <c r="L26" s="330">
        <v>7.2279999999999998</v>
      </c>
      <c r="M26" s="330">
        <v>7.5869999999999997</v>
      </c>
      <c r="N26" s="330">
        <v>8.0920000000000005</v>
      </c>
      <c r="O26" s="330">
        <v>8.5470000000000006</v>
      </c>
      <c r="P26" s="330">
        <v>9.7899999999999991</v>
      </c>
      <c r="Q26" s="330">
        <v>10.538</v>
      </c>
      <c r="R26" s="330">
        <v>11.069000000000001</v>
      </c>
      <c r="S26" s="330">
        <v>11.38</v>
      </c>
      <c r="T26" s="330">
        <v>12.688000000000001</v>
      </c>
      <c r="U26" s="330">
        <v>15.2</v>
      </c>
      <c r="V26" s="330">
        <v>16.52</v>
      </c>
      <c r="W26" s="330">
        <v>15.744999999999999</v>
      </c>
      <c r="X26" s="330">
        <v>16.724</v>
      </c>
      <c r="Y26" s="330">
        <v>20.213000000000001</v>
      </c>
      <c r="Z26" s="330">
        <v>19.481000000000002</v>
      </c>
      <c r="AA26" s="330">
        <v>18.645</v>
      </c>
      <c r="AB26" s="330">
        <v>18.899000000000001</v>
      </c>
      <c r="AC26" s="330">
        <v>18.797999999999998</v>
      </c>
      <c r="AD26" s="330">
        <v>19.129000000000001</v>
      </c>
      <c r="AE26" s="330">
        <v>19.347000000000001</v>
      </c>
      <c r="AF26" s="330">
        <v>18.542999999999999</v>
      </c>
      <c r="AG26" s="330">
        <v>18.692</v>
      </c>
      <c r="AH26" s="330">
        <v>18.870999999999999</v>
      </c>
      <c r="AI26" s="330">
        <v>18.870999999999999</v>
      </c>
      <c r="AJ26" s="330">
        <v>18.649000000000001</v>
      </c>
      <c r="AK26" s="330">
        <v>19.010999999999999</v>
      </c>
      <c r="AL26" s="330">
        <v>19.411000000000001</v>
      </c>
      <c r="AM26" s="330">
        <v>19.681999999999999</v>
      </c>
      <c r="AN26" s="330">
        <v>20.14</v>
      </c>
      <c r="AO26" s="330">
        <v>20.218</v>
      </c>
      <c r="AP26" s="330">
        <v>20.524999999999999</v>
      </c>
      <c r="AQ26" s="330">
        <v>21.06</v>
      </c>
      <c r="AR26" s="330">
        <v>22.306000000000001</v>
      </c>
      <c r="AS26" s="330">
        <v>23.675999999999998</v>
      </c>
      <c r="AT26" s="330">
        <v>25.334</v>
      </c>
      <c r="AU26" s="330">
        <v>29.738</v>
      </c>
      <c r="AV26" s="330">
        <v>42.545000000000002</v>
      </c>
      <c r="AW26" s="330">
        <v>46.087000000000003</v>
      </c>
      <c r="AX26" s="330">
        <v>47.475000000000001</v>
      </c>
      <c r="AY26" s="330">
        <v>51.658000000000001</v>
      </c>
      <c r="AZ26" s="330">
        <v>55.304000000000002</v>
      </c>
      <c r="BA26" s="330">
        <v>64.760999999999996</v>
      </c>
      <c r="BB26" s="330">
        <v>80.677999999999997</v>
      </c>
      <c r="BC26" s="330">
        <v>85.028000000000006</v>
      </c>
      <c r="BD26" s="330">
        <v>82.174000000000007</v>
      </c>
      <c r="BE26" s="330">
        <v>79.093000000000004</v>
      </c>
      <c r="BF26" s="330">
        <v>78.409000000000006</v>
      </c>
      <c r="BG26" s="330">
        <v>75.834000000000003</v>
      </c>
      <c r="BH26" s="330">
        <v>75.843000000000004</v>
      </c>
      <c r="BI26" s="330">
        <v>80.415999999999997</v>
      </c>
      <c r="BJ26" s="330">
        <v>84.263999999999996</v>
      </c>
      <c r="BK26" s="330">
        <v>86.105999999999995</v>
      </c>
      <c r="BL26" s="330">
        <v>88.575000000000003</v>
      </c>
      <c r="BM26" s="330">
        <v>87.837000000000003</v>
      </c>
      <c r="BN26" s="330">
        <v>87.906999999999996</v>
      </c>
      <c r="BO26" s="330">
        <v>87.233999999999995</v>
      </c>
      <c r="BP26" s="330">
        <v>88.052999999999997</v>
      </c>
      <c r="BQ26" s="330">
        <v>90.465999999999994</v>
      </c>
      <c r="BR26" s="330">
        <v>88.888999999999996</v>
      </c>
      <c r="BS26" s="330">
        <v>85.8</v>
      </c>
      <c r="BT26" s="330">
        <v>81.180000000000007</v>
      </c>
      <c r="BU26" s="330">
        <v>81.664000000000001</v>
      </c>
      <c r="BV26" s="330">
        <v>85.236000000000004</v>
      </c>
      <c r="BW26" s="330">
        <v>83.031000000000006</v>
      </c>
      <c r="BX26" s="330">
        <v>82.042000000000002</v>
      </c>
      <c r="BY26" s="330">
        <v>84.524000000000001</v>
      </c>
      <c r="BZ26" s="330">
        <v>88.552999999999997</v>
      </c>
      <c r="CA26" s="330">
        <v>93.763999999999996</v>
      </c>
      <c r="CB26" s="330">
        <v>97.393000000000001</v>
      </c>
      <c r="CC26" s="330">
        <v>100.791</v>
      </c>
      <c r="CD26" s="330">
        <v>110.783</v>
      </c>
      <c r="CE26" s="330">
        <v>98.531999999999996</v>
      </c>
      <c r="CF26" s="330">
        <v>104.108</v>
      </c>
      <c r="CG26" s="330">
        <v>112.041</v>
      </c>
      <c r="CH26" s="330">
        <v>112.35899999999999</v>
      </c>
      <c r="CI26" s="330">
        <v>110.89400000000001</v>
      </c>
      <c r="CJ26" s="330">
        <v>110.06699999999999</v>
      </c>
      <c r="CK26" s="330">
        <v>101.283</v>
      </c>
      <c r="CL26" s="330">
        <v>97.825000000000003</v>
      </c>
      <c r="CM26" s="330">
        <v>100</v>
      </c>
      <c r="CN26" s="330">
        <v>102.66200000000001</v>
      </c>
      <c r="CO26" s="330">
        <v>100.999</v>
      </c>
      <c r="CP26" s="330">
        <v>98.891000000000005</v>
      </c>
      <c r="CQ26" s="330">
        <v>106.03</v>
      </c>
      <c r="CR26" s="330">
        <v>113.66800000000001</v>
      </c>
      <c r="CS26" s="330">
        <v>111.357</v>
      </c>
      <c r="CT26" s="330">
        <v>112.211</v>
      </c>
      <c r="CU26" s="330">
        <v>112.74</v>
      </c>
    </row>
    <row r="27" spans="1:99" x14ac:dyDescent="0.35">
      <c r="A27" s="330" t="s">
        <v>784</v>
      </c>
      <c r="B27" s="330" t="s">
        <v>779</v>
      </c>
      <c r="C27" s="330">
        <v>11.233000000000001</v>
      </c>
      <c r="D27" s="330">
        <v>9.2690000000000001</v>
      </c>
      <c r="E27" s="330">
        <v>7.2489999999999997</v>
      </c>
      <c r="F27" s="330">
        <v>5.681</v>
      </c>
      <c r="G27" s="330">
        <v>5.6849999999999996</v>
      </c>
      <c r="H27" s="330">
        <v>6.4909999999999997</v>
      </c>
      <c r="I27" s="330">
        <v>6.5960000000000001</v>
      </c>
      <c r="J27" s="330">
        <v>7.08</v>
      </c>
      <c r="K27" s="330">
        <v>7.9119999999999999</v>
      </c>
      <c r="L27" s="330">
        <v>7.0910000000000002</v>
      </c>
      <c r="M27" s="330">
        <v>7.22</v>
      </c>
      <c r="N27" s="330">
        <v>7.7069999999999999</v>
      </c>
      <c r="O27" s="330">
        <v>8.266</v>
      </c>
      <c r="P27" s="330">
        <v>9.5749999999999993</v>
      </c>
      <c r="Q27" s="330">
        <v>10.382999999999999</v>
      </c>
      <c r="R27" s="330">
        <v>11.089</v>
      </c>
      <c r="S27" s="330">
        <v>11.359</v>
      </c>
      <c r="T27" s="330">
        <v>12.797000000000001</v>
      </c>
      <c r="U27" s="330">
        <v>15.714</v>
      </c>
      <c r="V27" s="330">
        <v>17.353000000000002</v>
      </c>
      <c r="W27" s="330">
        <v>16.427</v>
      </c>
      <c r="X27" s="330">
        <v>17.768999999999998</v>
      </c>
      <c r="Y27" s="330">
        <v>22.308</v>
      </c>
      <c r="Z27" s="330">
        <v>21.207999999999998</v>
      </c>
      <c r="AA27" s="330">
        <v>20.298999999999999</v>
      </c>
      <c r="AB27" s="330">
        <v>20.734999999999999</v>
      </c>
      <c r="AC27" s="330">
        <v>20.678999999999998</v>
      </c>
      <c r="AD27" s="330">
        <v>21.085000000000001</v>
      </c>
      <c r="AE27" s="330">
        <v>21.273</v>
      </c>
      <c r="AF27" s="330">
        <v>20.161999999999999</v>
      </c>
      <c r="AG27" s="330">
        <v>20.277999999999999</v>
      </c>
      <c r="AH27" s="330">
        <v>20.494</v>
      </c>
      <c r="AI27" s="330">
        <v>20.298999999999999</v>
      </c>
      <c r="AJ27" s="330">
        <v>19.814</v>
      </c>
      <c r="AK27" s="330">
        <v>19.995999999999999</v>
      </c>
      <c r="AL27" s="330">
        <v>20.536000000000001</v>
      </c>
      <c r="AM27" s="330">
        <v>20.637</v>
      </c>
      <c r="AN27" s="330">
        <v>21.102</v>
      </c>
      <c r="AO27" s="330">
        <v>21.132999999999999</v>
      </c>
      <c r="AP27" s="330">
        <v>21.416</v>
      </c>
      <c r="AQ27" s="330">
        <v>22.02</v>
      </c>
      <c r="AR27" s="330">
        <v>23.515999999999998</v>
      </c>
      <c r="AS27" s="330">
        <v>24.721</v>
      </c>
      <c r="AT27" s="330">
        <v>26.616</v>
      </c>
      <c r="AU27" s="330">
        <v>31.370999999999999</v>
      </c>
      <c r="AV27" s="330">
        <v>46.944000000000003</v>
      </c>
      <c r="AW27" s="330">
        <v>50.877000000000002</v>
      </c>
      <c r="AX27" s="330">
        <v>52.237000000000002</v>
      </c>
      <c r="AY27" s="330">
        <v>57.023000000000003</v>
      </c>
      <c r="AZ27" s="330">
        <v>60.823999999999998</v>
      </c>
      <c r="BA27" s="330">
        <v>71.721000000000004</v>
      </c>
      <c r="BB27" s="330">
        <v>90.518000000000001</v>
      </c>
      <c r="BC27" s="330">
        <v>95.573999999999998</v>
      </c>
      <c r="BD27" s="330">
        <v>91.730999999999995</v>
      </c>
      <c r="BE27" s="330">
        <v>87.894000000000005</v>
      </c>
      <c r="BF27" s="330">
        <v>87.289000000000001</v>
      </c>
      <c r="BG27" s="330">
        <v>83.853999999999999</v>
      </c>
      <c r="BH27" s="330">
        <v>81.99</v>
      </c>
      <c r="BI27" s="330">
        <v>87.811000000000007</v>
      </c>
      <c r="BJ27" s="330">
        <v>91.994</v>
      </c>
      <c r="BK27" s="330">
        <v>94.567999999999998</v>
      </c>
      <c r="BL27" s="330">
        <v>96.305000000000007</v>
      </c>
      <c r="BM27" s="330">
        <v>94.483999999999995</v>
      </c>
      <c r="BN27" s="330">
        <v>93.968000000000004</v>
      </c>
      <c r="BO27" s="330">
        <v>92.918000000000006</v>
      </c>
      <c r="BP27" s="330">
        <v>93.594999999999999</v>
      </c>
      <c r="BQ27" s="330">
        <v>96.09</v>
      </c>
      <c r="BR27" s="330">
        <v>93.653999999999996</v>
      </c>
      <c r="BS27" s="330">
        <v>89.787000000000006</v>
      </c>
      <c r="BT27" s="330">
        <v>84.363</v>
      </c>
      <c r="BU27" s="330">
        <v>84.46</v>
      </c>
      <c r="BV27" s="330">
        <v>88.912000000000006</v>
      </c>
      <c r="BW27" s="330">
        <v>86.412999999999997</v>
      </c>
      <c r="BX27" s="330">
        <v>84.921000000000006</v>
      </c>
      <c r="BY27" s="330">
        <v>86.73</v>
      </c>
      <c r="BZ27" s="330">
        <v>90.869</v>
      </c>
      <c r="CA27" s="330">
        <v>96.638000000000005</v>
      </c>
      <c r="CB27" s="330">
        <v>100.511</v>
      </c>
      <c r="CC27" s="330">
        <v>103.90300000000001</v>
      </c>
      <c r="CD27" s="330">
        <v>115.245</v>
      </c>
      <c r="CE27" s="330">
        <v>100.768</v>
      </c>
      <c r="CF27" s="330">
        <v>107.081</v>
      </c>
      <c r="CG27" s="330">
        <v>116.289</v>
      </c>
      <c r="CH27" s="330">
        <v>116.44199999999999</v>
      </c>
      <c r="CI27" s="330">
        <v>114.181</v>
      </c>
      <c r="CJ27" s="330">
        <v>112.66</v>
      </c>
      <c r="CK27" s="330">
        <v>102.053</v>
      </c>
      <c r="CL27" s="330">
        <v>97.81</v>
      </c>
      <c r="CM27" s="330">
        <v>100</v>
      </c>
      <c r="CN27" s="330">
        <v>102.709</v>
      </c>
      <c r="CO27" s="330">
        <v>100.474</v>
      </c>
      <c r="CP27" s="330">
        <v>97.766000000000005</v>
      </c>
      <c r="CQ27" s="330">
        <v>105.209</v>
      </c>
      <c r="CR27" s="330">
        <v>113.066</v>
      </c>
      <c r="CS27" s="330">
        <v>109.45699999999999</v>
      </c>
      <c r="CT27" s="330">
        <v>109.974</v>
      </c>
      <c r="CU27" s="330">
        <v>110.02200000000001</v>
      </c>
    </row>
    <row r="28" spans="1:99" x14ac:dyDescent="0.35">
      <c r="A28" s="330" t="s">
        <v>785</v>
      </c>
      <c r="B28" s="330" t="s">
        <v>781</v>
      </c>
      <c r="C28" s="330">
        <v>8.35</v>
      </c>
      <c r="D28" s="330">
        <v>7.9939999999999998</v>
      </c>
      <c r="E28" s="330">
        <v>7.0979999999999999</v>
      </c>
      <c r="F28" s="330">
        <v>6.016</v>
      </c>
      <c r="G28" s="330">
        <v>5.0910000000000002</v>
      </c>
      <c r="H28" s="330">
        <v>5.681</v>
      </c>
      <c r="I28" s="330">
        <v>5.7809999999999997</v>
      </c>
      <c r="J28" s="330">
        <v>6.0970000000000004</v>
      </c>
      <c r="K28" s="330">
        <v>6.77</v>
      </c>
      <c r="L28" s="330">
        <v>6.9880000000000004</v>
      </c>
      <c r="M28" s="330">
        <v>8.1029999999999998</v>
      </c>
      <c r="N28" s="330">
        <v>8.6210000000000004</v>
      </c>
      <c r="O28" s="330">
        <v>8.6199999999999992</v>
      </c>
      <c r="P28" s="330">
        <v>9.6349999999999998</v>
      </c>
      <c r="Q28" s="330">
        <v>10.273</v>
      </c>
      <c r="R28" s="330">
        <v>10.574999999999999</v>
      </c>
      <c r="S28" s="330">
        <v>10.916</v>
      </c>
      <c r="T28" s="330">
        <v>11.923</v>
      </c>
      <c r="U28" s="330">
        <v>13.32</v>
      </c>
      <c r="V28" s="330">
        <v>13.791</v>
      </c>
      <c r="W28" s="330">
        <v>13.409000000000001</v>
      </c>
      <c r="X28" s="330">
        <v>13.436</v>
      </c>
      <c r="Y28" s="330">
        <v>14.228999999999999</v>
      </c>
      <c r="Z28" s="330">
        <v>14.259</v>
      </c>
      <c r="AA28" s="330">
        <v>13.645</v>
      </c>
      <c r="AB28" s="330">
        <v>13.606999999999999</v>
      </c>
      <c r="AC28" s="330">
        <v>13.462</v>
      </c>
      <c r="AD28" s="330">
        <v>13.644</v>
      </c>
      <c r="AE28" s="330">
        <v>13.868</v>
      </c>
      <c r="AF28" s="330">
        <v>13.581</v>
      </c>
      <c r="AG28" s="330">
        <v>13.749000000000001</v>
      </c>
      <c r="AH28" s="330">
        <v>13.851000000000001</v>
      </c>
      <c r="AI28" s="330">
        <v>14.118</v>
      </c>
      <c r="AJ28" s="330">
        <v>14.302</v>
      </c>
      <c r="AK28" s="330">
        <v>14.89</v>
      </c>
      <c r="AL28" s="330">
        <v>15.016</v>
      </c>
      <c r="AM28" s="330">
        <v>15.54</v>
      </c>
      <c r="AN28" s="330">
        <v>15.93</v>
      </c>
      <c r="AO28" s="330">
        <v>16.085000000000001</v>
      </c>
      <c r="AP28" s="330">
        <v>16.399000000000001</v>
      </c>
      <c r="AQ28" s="330">
        <v>16.731999999999999</v>
      </c>
      <c r="AR28" s="330">
        <v>17.329000000000001</v>
      </c>
      <c r="AS28" s="330">
        <v>18.898</v>
      </c>
      <c r="AT28" s="330">
        <v>19.84</v>
      </c>
      <c r="AU28" s="330">
        <v>22.949000000000002</v>
      </c>
      <c r="AV28" s="330">
        <v>27.292000000000002</v>
      </c>
      <c r="AW28" s="330">
        <v>29.504000000000001</v>
      </c>
      <c r="AX28" s="330">
        <v>30.838000000000001</v>
      </c>
      <c r="AY28" s="330">
        <v>33.03</v>
      </c>
      <c r="AZ28" s="330">
        <v>36.03</v>
      </c>
      <c r="BA28" s="330">
        <v>40.689</v>
      </c>
      <c r="BB28" s="330">
        <v>47.222000000000001</v>
      </c>
      <c r="BC28" s="330">
        <v>49.274999999999999</v>
      </c>
      <c r="BD28" s="330">
        <v>49.311999999999998</v>
      </c>
      <c r="BE28" s="330">
        <v>48.503</v>
      </c>
      <c r="BF28" s="330">
        <v>47.668999999999997</v>
      </c>
      <c r="BG28" s="330">
        <v>47.61</v>
      </c>
      <c r="BH28" s="330">
        <v>52.768999999999998</v>
      </c>
      <c r="BI28" s="330">
        <v>53.517000000000003</v>
      </c>
      <c r="BJ28" s="330">
        <v>56.128999999999998</v>
      </c>
      <c r="BK28" s="330">
        <v>55.831000000000003</v>
      </c>
      <c r="BL28" s="330">
        <v>60.015000000000001</v>
      </c>
      <c r="BM28" s="330">
        <v>62.21</v>
      </c>
      <c r="BN28" s="330">
        <v>63.957000000000001</v>
      </c>
      <c r="BO28" s="330">
        <v>64.498999999999995</v>
      </c>
      <c r="BP28" s="330">
        <v>65.765000000000001</v>
      </c>
      <c r="BQ28" s="330">
        <v>67.817999999999998</v>
      </c>
      <c r="BR28" s="330">
        <v>69.510000000000005</v>
      </c>
      <c r="BS28" s="330">
        <v>69.507999999999996</v>
      </c>
      <c r="BT28" s="330">
        <v>68.149000000000001</v>
      </c>
      <c r="BU28" s="330">
        <v>70.245000000000005</v>
      </c>
      <c r="BV28" s="330">
        <v>70.016999999999996</v>
      </c>
      <c r="BW28" s="330">
        <v>69.057000000000002</v>
      </c>
      <c r="BX28" s="330">
        <v>70.147000000000006</v>
      </c>
      <c r="BY28" s="330">
        <v>75.515000000000001</v>
      </c>
      <c r="BZ28" s="330">
        <v>79.096999999999994</v>
      </c>
      <c r="CA28" s="330">
        <v>81.849999999999994</v>
      </c>
      <c r="CB28" s="330">
        <v>84.412000000000006</v>
      </c>
      <c r="CC28" s="330">
        <v>87.864000000000004</v>
      </c>
      <c r="CD28" s="330">
        <v>92.234999999999999</v>
      </c>
      <c r="CE28" s="330">
        <v>88.378</v>
      </c>
      <c r="CF28" s="330">
        <v>91.227999999999994</v>
      </c>
      <c r="CG28" s="330">
        <v>94.171999999999997</v>
      </c>
      <c r="CH28" s="330">
        <v>95.134</v>
      </c>
      <c r="CI28" s="330">
        <v>96.885999999999996</v>
      </c>
      <c r="CJ28" s="330">
        <v>98.953999999999994</v>
      </c>
      <c r="CK28" s="330">
        <v>97.965999999999994</v>
      </c>
      <c r="CL28" s="330">
        <v>97.888000000000005</v>
      </c>
      <c r="CM28" s="330">
        <v>100</v>
      </c>
      <c r="CN28" s="330">
        <v>102.464</v>
      </c>
      <c r="CO28" s="330">
        <v>103.307</v>
      </c>
      <c r="CP28" s="330">
        <v>104.02800000000001</v>
      </c>
      <c r="CQ28" s="330">
        <v>109.566</v>
      </c>
      <c r="CR28" s="330">
        <v>116.096</v>
      </c>
      <c r="CS28" s="330">
        <v>119.675</v>
      </c>
      <c r="CT28" s="330">
        <v>121.99</v>
      </c>
      <c r="CU28" s="330">
        <v>124.712</v>
      </c>
    </row>
    <row r="29" spans="1:99" x14ac:dyDescent="0.35">
      <c r="A29" s="330" t="s">
        <v>786</v>
      </c>
      <c r="B29" s="331" t="s">
        <v>787</v>
      </c>
      <c r="C29" s="331">
        <v>4.9859999999999998</v>
      </c>
      <c r="D29" s="331">
        <v>4.8339999999999996</v>
      </c>
      <c r="E29" s="331">
        <v>4.5960000000000001</v>
      </c>
      <c r="F29" s="331">
        <v>4.1769999999999996</v>
      </c>
      <c r="G29" s="331">
        <v>4.2809999999999997</v>
      </c>
      <c r="H29" s="331">
        <v>4.6020000000000003</v>
      </c>
      <c r="I29" s="331">
        <v>4.6429999999999998</v>
      </c>
      <c r="J29" s="331">
        <v>4.82</v>
      </c>
      <c r="K29" s="331">
        <v>4.9119999999999999</v>
      </c>
      <c r="L29" s="331">
        <v>4.93</v>
      </c>
      <c r="M29" s="331">
        <v>4.8490000000000002</v>
      </c>
      <c r="N29" s="331">
        <v>4.8029999999999999</v>
      </c>
      <c r="O29" s="331">
        <v>5.1050000000000004</v>
      </c>
      <c r="P29" s="331">
        <v>5.1669999999999998</v>
      </c>
      <c r="Q29" s="331">
        <v>5.1630000000000003</v>
      </c>
      <c r="R29" s="331">
        <v>5.0979999999999999</v>
      </c>
      <c r="S29" s="331">
        <v>5.1509999999999998</v>
      </c>
      <c r="T29" s="331">
        <v>6.53</v>
      </c>
      <c r="U29" s="331">
        <v>7.1239999999999997</v>
      </c>
      <c r="V29" s="331">
        <v>7.41</v>
      </c>
      <c r="W29" s="331">
        <v>7.6139999999999999</v>
      </c>
      <c r="X29" s="331">
        <v>7.6890000000000001</v>
      </c>
      <c r="Y29" s="331">
        <v>8.1609999999999996</v>
      </c>
      <c r="Z29" s="331">
        <v>8.33</v>
      </c>
      <c r="AA29" s="331">
        <v>8.4220000000000006</v>
      </c>
      <c r="AB29" s="331">
        <v>8.6010000000000009</v>
      </c>
      <c r="AC29" s="331">
        <v>8.9359999999999999</v>
      </c>
      <c r="AD29" s="331">
        <v>9.4149999999999991</v>
      </c>
      <c r="AE29" s="331">
        <v>9.8239999999999998</v>
      </c>
      <c r="AF29" s="331">
        <v>10.125</v>
      </c>
      <c r="AG29" s="331">
        <v>10.249000000000001</v>
      </c>
      <c r="AH29" s="331">
        <v>10.362</v>
      </c>
      <c r="AI29" s="331">
        <v>10.541</v>
      </c>
      <c r="AJ29" s="331">
        <v>10.738</v>
      </c>
      <c r="AK29" s="331">
        <v>10.999000000000001</v>
      </c>
      <c r="AL29" s="331">
        <v>11.287000000000001</v>
      </c>
      <c r="AM29" s="331">
        <v>11.593</v>
      </c>
      <c r="AN29" s="331">
        <v>12.055</v>
      </c>
      <c r="AO29" s="331">
        <v>12.468</v>
      </c>
      <c r="AP29" s="331">
        <v>13.135999999999999</v>
      </c>
      <c r="AQ29" s="331">
        <v>13.907</v>
      </c>
      <c r="AR29" s="331">
        <v>15.016</v>
      </c>
      <c r="AS29" s="331">
        <v>16.204999999999998</v>
      </c>
      <c r="AT29" s="331">
        <v>17.431000000000001</v>
      </c>
      <c r="AU29" s="331">
        <v>18.623000000000001</v>
      </c>
      <c r="AV29" s="331">
        <v>20.411000000000001</v>
      </c>
      <c r="AW29" s="331">
        <v>22.297000000000001</v>
      </c>
      <c r="AX29" s="331">
        <v>23.521999999999998</v>
      </c>
      <c r="AY29" s="331">
        <v>24.977</v>
      </c>
      <c r="AZ29" s="331">
        <v>26.629000000000001</v>
      </c>
      <c r="BA29" s="331">
        <v>28.82</v>
      </c>
      <c r="BB29" s="331">
        <v>31.802</v>
      </c>
      <c r="BC29" s="331">
        <v>34.959000000000003</v>
      </c>
      <c r="BD29" s="331">
        <v>37.338000000000001</v>
      </c>
      <c r="BE29" s="331">
        <v>38.780999999999999</v>
      </c>
      <c r="BF29" s="331">
        <v>40.463999999999999</v>
      </c>
      <c r="BG29" s="331">
        <v>41.718000000000004</v>
      </c>
      <c r="BH29" s="331">
        <v>42.417999999999999</v>
      </c>
      <c r="BI29" s="331">
        <v>43.564</v>
      </c>
      <c r="BJ29" s="331">
        <v>45.003999999999998</v>
      </c>
      <c r="BK29" s="331">
        <v>46.722999999999999</v>
      </c>
      <c r="BL29" s="331">
        <v>48.682000000000002</v>
      </c>
      <c r="BM29" s="331">
        <v>50.45</v>
      </c>
      <c r="BN29" s="331">
        <v>51.978000000000002</v>
      </c>
      <c r="BO29" s="331">
        <v>53.203000000000003</v>
      </c>
      <c r="BP29" s="331">
        <v>54.613</v>
      </c>
      <c r="BQ29" s="331">
        <v>56.162999999999997</v>
      </c>
      <c r="BR29" s="331">
        <v>57.314</v>
      </c>
      <c r="BS29" s="331">
        <v>58.439</v>
      </c>
      <c r="BT29" s="331">
        <v>59.433</v>
      </c>
      <c r="BU29" s="331">
        <v>61.421999999999997</v>
      </c>
      <c r="BV29" s="331">
        <v>64.058999999999997</v>
      </c>
      <c r="BW29" s="331">
        <v>65.909000000000006</v>
      </c>
      <c r="BX29" s="331">
        <v>67.61</v>
      </c>
      <c r="BY29" s="331">
        <v>70.090999999999994</v>
      </c>
      <c r="BZ29" s="331">
        <v>73.016000000000005</v>
      </c>
      <c r="CA29" s="331">
        <v>76.725999999999999</v>
      </c>
      <c r="CB29" s="331">
        <v>80.063000000000002</v>
      </c>
      <c r="CC29" s="331">
        <v>83.653000000000006</v>
      </c>
      <c r="CD29" s="331">
        <v>87.221000000000004</v>
      </c>
      <c r="CE29" s="331">
        <v>86.835999999999999</v>
      </c>
      <c r="CF29" s="331">
        <v>89.149000000000001</v>
      </c>
      <c r="CG29" s="331">
        <v>91.861000000000004</v>
      </c>
      <c r="CH29" s="331">
        <v>93.46</v>
      </c>
      <c r="CI29" s="331">
        <v>95.634</v>
      </c>
      <c r="CJ29" s="331">
        <v>97.578000000000003</v>
      </c>
      <c r="CK29" s="331">
        <v>97.581000000000003</v>
      </c>
      <c r="CL29" s="331">
        <v>97.766000000000005</v>
      </c>
      <c r="CM29" s="331">
        <v>100</v>
      </c>
      <c r="CN29" s="331">
        <v>103.619</v>
      </c>
      <c r="CO29" s="331">
        <v>105.155</v>
      </c>
      <c r="CP29" s="331">
        <v>107.425</v>
      </c>
      <c r="CQ29" s="331">
        <v>113.17700000000001</v>
      </c>
      <c r="CR29" s="331">
        <v>121.386</v>
      </c>
      <c r="CS29" s="331">
        <v>124.745</v>
      </c>
      <c r="CT29" s="331">
        <v>127.77500000000001</v>
      </c>
      <c r="CU29" s="331">
        <v>132.21600000000001</v>
      </c>
    </row>
    <row r="30" spans="1:99" x14ac:dyDescent="0.35">
      <c r="A30" s="330" t="s">
        <v>788</v>
      </c>
      <c r="B30" s="330" t="s">
        <v>789</v>
      </c>
      <c r="C30" s="330">
        <v>6.23</v>
      </c>
      <c r="D30" s="330">
        <v>5.9530000000000003</v>
      </c>
      <c r="E30" s="330">
        <v>5.9139999999999997</v>
      </c>
      <c r="F30" s="330">
        <v>5.62</v>
      </c>
      <c r="G30" s="330">
        <v>5.6609999999999996</v>
      </c>
      <c r="H30" s="330">
        <v>6.04</v>
      </c>
      <c r="I30" s="330">
        <v>6.0810000000000004</v>
      </c>
      <c r="J30" s="330">
        <v>6.6139999999999999</v>
      </c>
      <c r="K30" s="330">
        <v>6.7030000000000003</v>
      </c>
      <c r="L30" s="330">
        <v>6.7859999999999996</v>
      </c>
      <c r="M30" s="330">
        <v>6.67</v>
      </c>
      <c r="N30" s="330">
        <v>6.4580000000000002</v>
      </c>
      <c r="O30" s="330">
        <v>6.8310000000000004</v>
      </c>
      <c r="P30" s="330">
        <v>6.7919999999999998</v>
      </c>
      <c r="Q30" s="330">
        <v>6.7320000000000002</v>
      </c>
      <c r="R30" s="330">
        <v>6.6150000000000002</v>
      </c>
      <c r="S30" s="330">
        <v>6.6680000000000001</v>
      </c>
      <c r="T30" s="330">
        <v>8.73</v>
      </c>
      <c r="U30" s="330">
        <v>9.3940000000000001</v>
      </c>
      <c r="V30" s="330">
        <v>9.3659999999999997</v>
      </c>
      <c r="W30" s="330">
        <v>9.7349999999999994</v>
      </c>
      <c r="X30" s="330">
        <v>9.8510000000000009</v>
      </c>
      <c r="Y30" s="330">
        <v>10.247</v>
      </c>
      <c r="Z30" s="330">
        <v>10.363</v>
      </c>
      <c r="AA30" s="330">
        <v>10.444000000000001</v>
      </c>
      <c r="AB30" s="330">
        <v>10.693</v>
      </c>
      <c r="AC30" s="330">
        <v>11.208</v>
      </c>
      <c r="AD30" s="330">
        <v>11.75</v>
      </c>
      <c r="AE30" s="330">
        <v>12.263999999999999</v>
      </c>
      <c r="AF30" s="330">
        <v>12.747</v>
      </c>
      <c r="AG30" s="330">
        <v>12.855</v>
      </c>
      <c r="AH30" s="330">
        <v>12.944000000000001</v>
      </c>
      <c r="AI30" s="330">
        <v>13.096</v>
      </c>
      <c r="AJ30" s="330">
        <v>13.278</v>
      </c>
      <c r="AK30" s="330">
        <v>13.61</v>
      </c>
      <c r="AL30" s="330">
        <v>14.031000000000001</v>
      </c>
      <c r="AM30" s="330">
        <v>14.379</v>
      </c>
      <c r="AN30" s="330">
        <v>14.865</v>
      </c>
      <c r="AO30" s="330">
        <v>15.196</v>
      </c>
      <c r="AP30" s="330">
        <v>15.962</v>
      </c>
      <c r="AQ30" s="330">
        <v>16.785</v>
      </c>
      <c r="AR30" s="330">
        <v>18.108000000000001</v>
      </c>
      <c r="AS30" s="330">
        <v>19.588999999999999</v>
      </c>
      <c r="AT30" s="330">
        <v>21.314</v>
      </c>
      <c r="AU30" s="330">
        <v>22.8</v>
      </c>
      <c r="AV30" s="330">
        <v>24.617999999999999</v>
      </c>
      <c r="AW30" s="330">
        <v>26.785</v>
      </c>
      <c r="AX30" s="330">
        <v>28.451000000000001</v>
      </c>
      <c r="AY30" s="330">
        <v>30.2</v>
      </c>
      <c r="AZ30" s="330">
        <v>32.238999999999997</v>
      </c>
      <c r="BA30" s="330">
        <v>34.662999999999997</v>
      </c>
      <c r="BB30" s="330">
        <v>38.012999999999998</v>
      </c>
      <c r="BC30" s="330">
        <v>41.563000000000002</v>
      </c>
      <c r="BD30" s="330">
        <v>44.506</v>
      </c>
      <c r="BE30" s="330">
        <v>45.976999999999997</v>
      </c>
      <c r="BF30" s="330">
        <v>48.003</v>
      </c>
      <c r="BG30" s="330">
        <v>49.021999999999998</v>
      </c>
      <c r="BH30" s="330">
        <v>49.255000000000003</v>
      </c>
      <c r="BI30" s="330">
        <v>49.597000000000001</v>
      </c>
      <c r="BJ30" s="330">
        <v>51.215000000000003</v>
      </c>
      <c r="BK30" s="330">
        <v>52.646000000000001</v>
      </c>
      <c r="BL30" s="330">
        <v>54.271999999999998</v>
      </c>
      <c r="BM30" s="330">
        <v>56.223999999999997</v>
      </c>
      <c r="BN30" s="330">
        <v>57.66</v>
      </c>
      <c r="BO30" s="330">
        <v>58.917999999999999</v>
      </c>
      <c r="BP30" s="330">
        <v>60.539000000000001</v>
      </c>
      <c r="BQ30" s="330">
        <v>62.412999999999997</v>
      </c>
      <c r="BR30" s="330">
        <v>63.454999999999998</v>
      </c>
      <c r="BS30" s="330">
        <v>64.436000000000007</v>
      </c>
      <c r="BT30" s="330">
        <v>65.260000000000005</v>
      </c>
      <c r="BU30" s="330">
        <v>66.872</v>
      </c>
      <c r="BV30" s="330">
        <v>69.114999999999995</v>
      </c>
      <c r="BW30" s="330">
        <v>70.394999999999996</v>
      </c>
      <c r="BX30" s="330">
        <v>72.668999999999997</v>
      </c>
      <c r="BY30" s="330">
        <v>75.849000000000004</v>
      </c>
      <c r="BZ30" s="330">
        <v>78.457999999999998</v>
      </c>
      <c r="CA30" s="330">
        <v>81.722999999999999</v>
      </c>
      <c r="CB30" s="330">
        <v>84.326999999999998</v>
      </c>
      <c r="CC30" s="330">
        <v>86.83</v>
      </c>
      <c r="CD30" s="330">
        <v>89.494</v>
      </c>
      <c r="CE30" s="330">
        <v>89.278999999999996</v>
      </c>
      <c r="CF30" s="330">
        <v>91.394000000000005</v>
      </c>
      <c r="CG30" s="330">
        <v>93.9</v>
      </c>
      <c r="CH30" s="330">
        <v>94.783000000000001</v>
      </c>
      <c r="CI30" s="330">
        <v>95.596999999999994</v>
      </c>
      <c r="CJ30" s="330">
        <v>97.215000000000003</v>
      </c>
      <c r="CK30" s="330">
        <v>97.608999999999995</v>
      </c>
      <c r="CL30" s="330">
        <v>98.204999999999998</v>
      </c>
      <c r="CM30" s="330">
        <v>100</v>
      </c>
      <c r="CN30" s="330">
        <v>102.77500000000001</v>
      </c>
      <c r="CO30" s="330">
        <v>104.352</v>
      </c>
      <c r="CP30" s="330">
        <v>105.423</v>
      </c>
      <c r="CQ30" s="330">
        <v>108.91800000000001</v>
      </c>
      <c r="CR30" s="330">
        <v>115.194</v>
      </c>
      <c r="CS30" s="330">
        <v>120.003</v>
      </c>
      <c r="CT30" s="330">
        <v>123.896</v>
      </c>
      <c r="CU30" s="330">
        <v>130.28100000000001</v>
      </c>
    </row>
    <row r="31" spans="1:99" x14ac:dyDescent="0.35">
      <c r="A31" s="330" t="s">
        <v>790</v>
      </c>
      <c r="B31" s="330" t="s">
        <v>791</v>
      </c>
      <c r="C31" s="330">
        <v>6.133</v>
      </c>
      <c r="D31" s="330">
        <v>5.9429999999999996</v>
      </c>
      <c r="E31" s="330">
        <v>5.8659999999999997</v>
      </c>
      <c r="F31" s="330">
        <v>5.7210000000000001</v>
      </c>
      <c r="G31" s="330">
        <v>5.6829999999999998</v>
      </c>
      <c r="H31" s="330">
        <v>5.9390000000000001</v>
      </c>
      <c r="I31" s="330">
        <v>6.1390000000000002</v>
      </c>
      <c r="J31" s="330">
        <v>6.282</v>
      </c>
      <c r="K31" s="330">
        <v>6.43</v>
      </c>
      <c r="L31" s="330">
        <v>6.4420000000000002</v>
      </c>
      <c r="M31" s="330">
        <v>6.44</v>
      </c>
      <c r="N31" s="330">
        <v>6.2380000000000004</v>
      </c>
      <c r="O31" s="330">
        <v>6.625</v>
      </c>
      <c r="P31" s="330">
        <v>6.4770000000000003</v>
      </c>
      <c r="Q31" s="330">
        <v>6.399</v>
      </c>
      <c r="R31" s="330">
        <v>6.2750000000000004</v>
      </c>
      <c r="S31" s="330">
        <v>6.32</v>
      </c>
      <c r="T31" s="330">
        <v>8.41</v>
      </c>
      <c r="U31" s="330">
        <v>9.2070000000000007</v>
      </c>
      <c r="V31" s="330">
        <v>9.2289999999999992</v>
      </c>
      <c r="W31" s="330">
        <v>9.5299999999999994</v>
      </c>
      <c r="X31" s="330">
        <v>9.7279999999999998</v>
      </c>
      <c r="Y31" s="330">
        <v>10.029</v>
      </c>
      <c r="Z31" s="330">
        <v>10.086</v>
      </c>
      <c r="AA31" s="330">
        <v>10.124000000000001</v>
      </c>
      <c r="AB31" s="330">
        <v>10.387</v>
      </c>
      <c r="AC31" s="330">
        <v>10.91</v>
      </c>
      <c r="AD31" s="330">
        <v>11.503</v>
      </c>
      <c r="AE31" s="330">
        <v>12.007999999999999</v>
      </c>
      <c r="AF31" s="330">
        <v>12.46</v>
      </c>
      <c r="AG31" s="330">
        <v>12.545999999999999</v>
      </c>
      <c r="AH31" s="330">
        <v>12.632</v>
      </c>
      <c r="AI31" s="330">
        <v>12.738</v>
      </c>
      <c r="AJ31" s="330">
        <v>12.89</v>
      </c>
      <c r="AK31" s="330">
        <v>13.23</v>
      </c>
      <c r="AL31" s="330">
        <v>13.603999999999999</v>
      </c>
      <c r="AM31" s="330">
        <v>13.959</v>
      </c>
      <c r="AN31" s="330">
        <v>14.448</v>
      </c>
      <c r="AO31" s="330">
        <v>14.792999999999999</v>
      </c>
      <c r="AP31" s="330">
        <v>15.532999999999999</v>
      </c>
      <c r="AQ31" s="330">
        <v>16.326000000000001</v>
      </c>
      <c r="AR31" s="330">
        <v>17.552</v>
      </c>
      <c r="AS31" s="330">
        <v>19.013999999999999</v>
      </c>
      <c r="AT31" s="330">
        <v>21.004000000000001</v>
      </c>
      <c r="AU31" s="330">
        <v>22.544</v>
      </c>
      <c r="AV31" s="330">
        <v>24.382999999999999</v>
      </c>
      <c r="AW31" s="330">
        <v>26.442</v>
      </c>
      <c r="AX31" s="330">
        <v>28.17</v>
      </c>
      <c r="AY31" s="330">
        <v>30.013999999999999</v>
      </c>
      <c r="AZ31" s="330">
        <v>32.216000000000001</v>
      </c>
      <c r="BA31" s="330">
        <v>34.762999999999998</v>
      </c>
      <c r="BB31" s="330">
        <v>38.32</v>
      </c>
      <c r="BC31" s="330">
        <v>41.994</v>
      </c>
      <c r="BD31" s="330">
        <v>45.155000000000001</v>
      </c>
      <c r="BE31" s="330">
        <v>46.823999999999998</v>
      </c>
      <c r="BF31" s="330">
        <v>48.969000000000001</v>
      </c>
      <c r="BG31" s="330">
        <v>49.793999999999997</v>
      </c>
      <c r="BH31" s="330">
        <v>49.814999999999998</v>
      </c>
      <c r="BI31" s="330">
        <v>50.173000000000002</v>
      </c>
      <c r="BJ31" s="330">
        <v>51.744999999999997</v>
      </c>
      <c r="BK31" s="330">
        <v>53.146999999999998</v>
      </c>
      <c r="BL31" s="330">
        <v>54.872</v>
      </c>
      <c r="BM31" s="330">
        <v>56.600999999999999</v>
      </c>
      <c r="BN31" s="330">
        <v>58.247</v>
      </c>
      <c r="BO31" s="330">
        <v>59.146999999999998</v>
      </c>
      <c r="BP31" s="330">
        <v>60.695999999999998</v>
      </c>
      <c r="BQ31" s="330">
        <v>62.421999999999997</v>
      </c>
      <c r="BR31" s="330">
        <v>63.465000000000003</v>
      </c>
      <c r="BS31" s="330">
        <v>64.349999999999994</v>
      </c>
      <c r="BT31" s="330">
        <v>65.152000000000001</v>
      </c>
      <c r="BU31" s="330">
        <v>66.801000000000002</v>
      </c>
      <c r="BV31" s="330">
        <v>69.055999999999997</v>
      </c>
      <c r="BW31" s="330">
        <v>70.364999999999995</v>
      </c>
      <c r="BX31" s="330">
        <v>72.712000000000003</v>
      </c>
      <c r="BY31" s="330">
        <v>76.316999999999993</v>
      </c>
      <c r="BZ31" s="330">
        <v>78.965000000000003</v>
      </c>
      <c r="CA31" s="330">
        <v>82.561999999999998</v>
      </c>
      <c r="CB31" s="330">
        <v>85.451999999999998</v>
      </c>
      <c r="CC31" s="330">
        <v>88.070999999999998</v>
      </c>
      <c r="CD31" s="330">
        <v>90.998999999999995</v>
      </c>
      <c r="CE31" s="330">
        <v>90.352000000000004</v>
      </c>
      <c r="CF31" s="330">
        <v>92.272999999999996</v>
      </c>
      <c r="CG31" s="330">
        <v>94.978999999999999</v>
      </c>
      <c r="CH31" s="330">
        <v>95.99</v>
      </c>
      <c r="CI31" s="330">
        <v>96.459000000000003</v>
      </c>
      <c r="CJ31" s="330">
        <v>97.85</v>
      </c>
      <c r="CK31" s="330">
        <v>98.052999999999997</v>
      </c>
      <c r="CL31" s="330">
        <v>98.418999999999997</v>
      </c>
      <c r="CM31" s="330">
        <v>100</v>
      </c>
      <c r="CN31" s="330">
        <v>102.642</v>
      </c>
      <c r="CO31" s="330">
        <v>104.06699999999999</v>
      </c>
      <c r="CP31" s="330">
        <v>105.374</v>
      </c>
      <c r="CQ31" s="330">
        <v>109.22499999999999</v>
      </c>
      <c r="CR31" s="330">
        <v>116.078</v>
      </c>
      <c r="CS31" s="330">
        <v>120.88800000000001</v>
      </c>
      <c r="CT31" s="330">
        <v>125.39400000000001</v>
      </c>
      <c r="CU31" s="330">
        <v>130.88</v>
      </c>
    </row>
    <row r="32" spans="1:99" x14ac:dyDescent="0.35">
      <c r="A32" s="330" t="s">
        <v>792</v>
      </c>
      <c r="B32" s="330" t="s">
        <v>793</v>
      </c>
      <c r="C32" s="330">
        <v>6.0110000000000001</v>
      </c>
      <c r="D32" s="330">
        <v>5.6479999999999997</v>
      </c>
      <c r="E32" s="330">
        <v>5.6509999999999998</v>
      </c>
      <c r="F32" s="330">
        <v>5.22</v>
      </c>
      <c r="G32" s="330">
        <v>5.3230000000000004</v>
      </c>
      <c r="H32" s="330">
        <v>5.74</v>
      </c>
      <c r="I32" s="330">
        <v>5.7149999999999999</v>
      </c>
      <c r="J32" s="330">
        <v>6.3639999999999999</v>
      </c>
      <c r="K32" s="330">
        <v>6.4269999999999996</v>
      </c>
      <c r="L32" s="330">
        <v>6.53</v>
      </c>
      <c r="M32" s="330">
        <v>6.3810000000000002</v>
      </c>
      <c r="N32" s="330">
        <v>6.1710000000000003</v>
      </c>
      <c r="O32" s="330">
        <v>6.4550000000000001</v>
      </c>
      <c r="P32" s="330">
        <v>7.32</v>
      </c>
      <c r="Q32" s="330">
        <v>7.657</v>
      </c>
      <c r="R32" s="330">
        <v>8.016</v>
      </c>
      <c r="S32" s="330">
        <v>8.26</v>
      </c>
      <c r="T32" s="330">
        <v>9.3800000000000008</v>
      </c>
      <c r="U32" s="330">
        <v>9.3710000000000004</v>
      </c>
      <c r="V32" s="330">
        <v>9.1470000000000002</v>
      </c>
      <c r="W32" s="330">
        <v>9.6969999999999992</v>
      </c>
      <c r="X32" s="330">
        <v>9.5449999999999999</v>
      </c>
      <c r="Y32" s="330">
        <v>10.348000000000001</v>
      </c>
      <c r="Z32" s="330">
        <v>10.895</v>
      </c>
      <c r="AA32" s="330">
        <v>11.311</v>
      </c>
      <c r="AB32" s="330">
        <v>11.423</v>
      </c>
      <c r="AC32" s="330">
        <v>11.815</v>
      </c>
      <c r="AD32" s="330">
        <v>11.941000000000001</v>
      </c>
      <c r="AE32" s="330">
        <v>12.451000000000001</v>
      </c>
      <c r="AF32" s="330">
        <v>13.095000000000001</v>
      </c>
      <c r="AG32" s="330">
        <v>13.374000000000001</v>
      </c>
      <c r="AH32" s="330">
        <v>13.474</v>
      </c>
      <c r="AI32" s="330">
        <v>13.864000000000001</v>
      </c>
      <c r="AJ32" s="330">
        <v>14.180999999999999</v>
      </c>
      <c r="AK32" s="330">
        <v>14.452999999999999</v>
      </c>
      <c r="AL32" s="330">
        <v>15.04</v>
      </c>
      <c r="AM32" s="330">
        <v>15.353</v>
      </c>
      <c r="AN32" s="330">
        <v>15.808</v>
      </c>
      <c r="AO32" s="330">
        <v>16.071999999999999</v>
      </c>
      <c r="AP32" s="330">
        <v>16.902000000000001</v>
      </c>
      <c r="AQ32" s="330">
        <v>17.806999999999999</v>
      </c>
      <c r="AR32" s="330">
        <v>19.434999999999999</v>
      </c>
      <c r="AS32" s="330">
        <v>20.937999999999999</v>
      </c>
      <c r="AT32" s="330">
        <v>21.920999999999999</v>
      </c>
      <c r="AU32" s="330">
        <v>23.259</v>
      </c>
      <c r="AV32" s="330">
        <v>25.013000000000002</v>
      </c>
      <c r="AW32" s="330">
        <v>27.411000000000001</v>
      </c>
      <c r="AX32" s="330">
        <v>28.934999999999999</v>
      </c>
      <c r="AY32" s="330">
        <v>30.477</v>
      </c>
      <c r="AZ32" s="330">
        <v>32.179000000000002</v>
      </c>
      <c r="BA32" s="330">
        <v>34.353000000000002</v>
      </c>
      <c r="BB32" s="330">
        <v>37.286000000000001</v>
      </c>
      <c r="BC32" s="330">
        <v>40.573999999999998</v>
      </c>
      <c r="BD32" s="330">
        <v>43.048000000000002</v>
      </c>
      <c r="BE32" s="330">
        <v>44.064999999999998</v>
      </c>
      <c r="BF32" s="330">
        <v>45.814</v>
      </c>
      <c r="BG32" s="330">
        <v>47.326999999999998</v>
      </c>
      <c r="BH32" s="330">
        <v>48.109000000000002</v>
      </c>
      <c r="BI32" s="330">
        <v>48.414999999999999</v>
      </c>
      <c r="BJ32" s="330">
        <v>50.179000000000002</v>
      </c>
      <c r="BK32" s="330">
        <v>51.695</v>
      </c>
      <c r="BL32" s="330">
        <v>53.079000000000001</v>
      </c>
      <c r="BM32" s="330">
        <v>55.584000000000003</v>
      </c>
      <c r="BN32" s="330">
        <v>56.548000000000002</v>
      </c>
      <c r="BO32" s="330">
        <v>58.564999999999998</v>
      </c>
      <c r="BP32" s="330">
        <v>60.335000000000001</v>
      </c>
      <c r="BQ32" s="330">
        <v>62.496000000000002</v>
      </c>
      <c r="BR32" s="330">
        <v>63.537999999999997</v>
      </c>
      <c r="BS32" s="330">
        <v>64.697999999999993</v>
      </c>
      <c r="BT32" s="330">
        <v>65.56</v>
      </c>
      <c r="BU32" s="330">
        <v>67.111999999999995</v>
      </c>
      <c r="BV32" s="330">
        <v>69.338999999999999</v>
      </c>
      <c r="BW32" s="330">
        <v>70.575999999999993</v>
      </c>
      <c r="BX32" s="330">
        <v>72.734999999999999</v>
      </c>
      <c r="BY32" s="330">
        <v>75.221000000000004</v>
      </c>
      <c r="BZ32" s="330">
        <v>77.77</v>
      </c>
      <c r="CA32" s="330">
        <v>80.460999999999999</v>
      </c>
      <c r="CB32" s="330">
        <v>82.572999999999993</v>
      </c>
      <c r="CC32" s="330">
        <v>84.882000000000005</v>
      </c>
      <c r="CD32" s="330">
        <v>87.084000000000003</v>
      </c>
      <c r="CE32" s="330">
        <v>87.637</v>
      </c>
      <c r="CF32" s="330">
        <v>90.093999999999994</v>
      </c>
      <c r="CG32" s="330">
        <v>92.262</v>
      </c>
      <c r="CH32" s="330">
        <v>92.927000000000007</v>
      </c>
      <c r="CI32" s="330">
        <v>94.307000000000002</v>
      </c>
      <c r="CJ32" s="330">
        <v>96.287000000000006</v>
      </c>
      <c r="CK32" s="330">
        <v>96.968000000000004</v>
      </c>
      <c r="CL32" s="330">
        <v>97.897000000000006</v>
      </c>
      <c r="CM32" s="330">
        <v>100</v>
      </c>
      <c r="CN32" s="330">
        <v>102.968</v>
      </c>
      <c r="CO32" s="330">
        <v>104.767</v>
      </c>
      <c r="CP32" s="330">
        <v>105.499</v>
      </c>
      <c r="CQ32" s="330">
        <v>108.518</v>
      </c>
      <c r="CR32" s="330">
        <v>114.05</v>
      </c>
      <c r="CS32" s="330">
        <v>118.857</v>
      </c>
      <c r="CT32" s="330">
        <v>121.953</v>
      </c>
      <c r="CU32" s="330">
        <v>129.535</v>
      </c>
    </row>
    <row r="33" spans="1:99" x14ac:dyDescent="0.35">
      <c r="A33" s="330" t="s">
        <v>794</v>
      </c>
      <c r="B33" s="330" t="s">
        <v>795</v>
      </c>
      <c r="C33" s="330">
        <v>3.415</v>
      </c>
      <c r="D33" s="330">
        <v>3.3220000000000001</v>
      </c>
      <c r="E33" s="330">
        <v>3.125</v>
      </c>
      <c r="F33" s="330">
        <v>2.8050000000000002</v>
      </c>
      <c r="G33" s="330">
        <v>2.8919999999999999</v>
      </c>
      <c r="H33" s="330">
        <v>3.12</v>
      </c>
      <c r="I33" s="330">
        <v>3.15</v>
      </c>
      <c r="J33" s="330">
        <v>3.18</v>
      </c>
      <c r="K33" s="330">
        <v>3.254</v>
      </c>
      <c r="L33" s="330">
        <v>3.2469999999999999</v>
      </c>
      <c r="M33" s="330">
        <v>3.1949999999999998</v>
      </c>
      <c r="N33" s="330">
        <v>3.218</v>
      </c>
      <c r="O33" s="330">
        <v>3.4249999999999998</v>
      </c>
      <c r="P33" s="330">
        <v>3.7610000000000001</v>
      </c>
      <c r="Q33" s="330">
        <v>4.0209999999999999</v>
      </c>
      <c r="R33" s="330">
        <v>4.1879999999999997</v>
      </c>
      <c r="S33" s="330">
        <v>4.34</v>
      </c>
      <c r="T33" s="330">
        <v>4.7539999999999996</v>
      </c>
      <c r="U33" s="330">
        <v>5.3470000000000004</v>
      </c>
      <c r="V33" s="330">
        <v>5.98</v>
      </c>
      <c r="W33" s="330">
        <v>6.0339999999999998</v>
      </c>
      <c r="X33" s="330">
        <v>6.0739999999999998</v>
      </c>
      <c r="Y33" s="330">
        <v>6.673</v>
      </c>
      <c r="Z33" s="330">
        <v>6.9640000000000004</v>
      </c>
      <c r="AA33" s="330">
        <v>7.1020000000000003</v>
      </c>
      <c r="AB33" s="330">
        <v>7.2089999999999996</v>
      </c>
      <c r="AC33" s="330">
        <v>7.3559999999999999</v>
      </c>
      <c r="AD33" s="330">
        <v>7.8230000000000004</v>
      </c>
      <c r="AE33" s="330">
        <v>8.1590000000000007</v>
      </c>
      <c r="AF33" s="330">
        <v>8.2859999999999996</v>
      </c>
      <c r="AG33" s="330">
        <v>8.44</v>
      </c>
      <c r="AH33" s="330">
        <v>8.5869999999999997</v>
      </c>
      <c r="AI33" s="330">
        <v>8.8070000000000004</v>
      </c>
      <c r="AJ33" s="330">
        <v>9.0359999999999996</v>
      </c>
      <c r="AK33" s="330">
        <v>9.2479999999999993</v>
      </c>
      <c r="AL33" s="330">
        <v>9.4280000000000008</v>
      </c>
      <c r="AM33" s="330">
        <v>9.7119999999999997</v>
      </c>
      <c r="AN33" s="330">
        <v>10.179</v>
      </c>
      <c r="AO33" s="330">
        <v>10.695</v>
      </c>
      <c r="AP33" s="330">
        <v>11.315</v>
      </c>
      <c r="AQ33" s="330">
        <v>12.081</v>
      </c>
      <c r="AR33" s="330">
        <v>13.055999999999999</v>
      </c>
      <c r="AS33" s="330">
        <v>14.055999999999999</v>
      </c>
      <c r="AT33" s="330">
        <v>14.948</v>
      </c>
      <c r="AU33" s="330">
        <v>15.95</v>
      </c>
      <c r="AV33" s="330">
        <v>17.716999999999999</v>
      </c>
      <c r="AW33" s="330">
        <v>19.420999999999999</v>
      </c>
      <c r="AX33" s="330">
        <v>20.369</v>
      </c>
      <c r="AY33" s="330">
        <v>21.635999999999999</v>
      </c>
      <c r="AZ33" s="330">
        <v>23.042000000000002</v>
      </c>
      <c r="BA33" s="330">
        <v>25.077000000000002</v>
      </c>
      <c r="BB33" s="330">
        <v>27.821000000000002</v>
      </c>
      <c r="BC33" s="330">
        <v>30.731000000000002</v>
      </c>
      <c r="BD33" s="330">
        <v>32.741999999999997</v>
      </c>
      <c r="BE33" s="330">
        <v>34.189</v>
      </c>
      <c r="BF33" s="330">
        <v>35.65</v>
      </c>
      <c r="BG33" s="330">
        <v>37.101999999999997</v>
      </c>
      <c r="BH33" s="330">
        <v>38.170999999999999</v>
      </c>
      <c r="BI33" s="330">
        <v>39.953000000000003</v>
      </c>
      <c r="BJ33" s="330">
        <v>41.289000000000001</v>
      </c>
      <c r="BK33" s="330">
        <v>43.244</v>
      </c>
      <c r="BL33" s="330">
        <v>45.465000000000003</v>
      </c>
      <c r="BM33" s="330">
        <v>47.13</v>
      </c>
      <c r="BN33" s="330">
        <v>48.735999999999997</v>
      </c>
      <c r="BO33" s="330">
        <v>49.95</v>
      </c>
      <c r="BP33" s="330">
        <v>51.237000000000002</v>
      </c>
      <c r="BQ33" s="330">
        <v>52.601999999999997</v>
      </c>
      <c r="BR33" s="330">
        <v>53.808999999999997</v>
      </c>
      <c r="BS33" s="330">
        <v>55.006</v>
      </c>
      <c r="BT33" s="330">
        <v>56.078000000000003</v>
      </c>
      <c r="BU33" s="330">
        <v>58.231000000000002</v>
      </c>
      <c r="BV33" s="330">
        <v>61.03</v>
      </c>
      <c r="BW33" s="330">
        <v>63.128</v>
      </c>
      <c r="BX33" s="330">
        <v>64.537999999999997</v>
      </c>
      <c r="BY33" s="330">
        <v>66.646000000000001</v>
      </c>
      <c r="BZ33" s="330">
        <v>69.725999999999999</v>
      </c>
      <c r="CA33" s="330">
        <v>73.667000000000002</v>
      </c>
      <c r="CB33" s="330">
        <v>77.406000000000006</v>
      </c>
      <c r="CC33" s="330">
        <v>81.602999999999994</v>
      </c>
      <c r="CD33" s="330">
        <v>85.691999999999993</v>
      </c>
      <c r="CE33" s="330">
        <v>85.200999999999993</v>
      </c>
      <c r="CF33" s="330">
        <v>87.641999999999996</v>
      </c>
      <c r="CG33" s="330">
        <v>90.494</v>
      </c>
      <c r="CH33" s="330">
        <v>92.578999999999994</v>
      </c>
      <c r="CI33" s="330">
        <v>95.653999999999996</v>
      </c>
      <c r="CJ33" s="330">
        <v>97.804000000000002</v>
      </c>
      <c r="CK33" s="330">
        <v>97.566999999999993</v>
      </c>
      <c r="CL33" s="330">
        <v>97.504999999999995</v>
      </c>
      <c r="CM33" s="330">
        <v>100</v>
      </c>
      <c r="CN33" s="330">
        <v>104.126</v>
      </c>
      <c r="CO33" s="330">
        <v>105.63800000000001</v>
      </c>
      <c r="CP33" s="330">
        <v>108.65</v>
      </c>
      <c r="CQ33" s="330">
        <v>115.855</v>
      </c>
      <c r="CR33" s="330">
        <v>125.30500000000001</v>
      </c>
      <c r="CS33" s="330">
        <v>127.744</v>
      </c>
      <c r="CT33" s="330">
        <v>130.23099999999999</v>
      </c>
      <c r="CU33" s="330">
        <v>133.44900000000001</v>
      </c>
    </row>
    <row r="34" spans="1:99" x14ac:dyDescent="0.35">
      <c r="A34" s="330" t="s">
        <v>4</v>
      </c>
      <c r="B34" s="330" t="s">
        <v>796</v>
      </c>
      <c r="C34" s="330" t="s">
        <v>4</v>
      </c>
      <c r="D34" s="330" t="s">
        <v>4</v>
      </c>
      <c r="E34" s="330" t="s">
        <v>4</v>
      </c>
      <c r="F34" s="330" t="s">
        <v>4</v>
      </c>
      <c r="G34" s="330" t="s">
        <v>4</v>
      </c>
      <c r="H34" s="330" t="s">
        <v>4</v>
      </c>
      <c r="I34" s="330" t="s">
        <v>4</v>
      </c>
      <c r="J34" s="330" t="s">
        <v>4</v>
      </c>
      <c r="K34" s="330" t="s">
        <v>4</v>
      </c>
      <c r="L34" s="330" t="s">
        <v>4</v>
      </c>
      <c r="M34" s="330" t="s">
        <v>4</v>
      </c>
      <c r="N34" s="330" t="s">
        <v>4</v>
      </c>
      <c r="O34" s="330" t="s">
        <v>4</v>
      </c>
      <c r="P34" s="330" t="s">
        <v>4</v>
      </c>
      <c r="Q34" s="330" t="s">
        <v>4</v>
      </c>
      <c r="R34" s="330" t="s">
        <v>4</v>
      </c>
      <c r="S34" s="330" t="s">
        <v>4</v>
      </c>
      <c r="T34" s="330" t="s">
        <v>4</v>
      </c>
      <c r="U34" s="330" t="s">
        <v>4</v>
      </c>
      <c r="V34" s="330" t="s">
        <v>4</v>
      </c>
      <c r="W34" s="330" t="s">
        <v>4</v>
      </c>
      <c r="X34" s="330" t="s">
        <v>4</v>
      </c>
      <c r="Y34" s="330" t="s">
        <v>4</v>
      </c>
      <c r="Z34" s="330" t="s">
        <v>4</v>
      </c>
      <c r="AA34" s="330" t="s">
        <v>4</v>
      </c>
      <c r="AB34" s="330" t="s">
        <v>4</v>
      </c>
      <c r="AC34" s="330" t="s">
        <v>4</v>
      </c>
      <c r="AD34" s="330" t="s">
        <v>4</v>
      </c>
      <c r="AE34" s="330" t="s">
        <v>4</v>
      </c>
      <c r="AF34" s="330" t="s">
        <v>4</v>
      </c>
      <c r="AG34" s="330" t="s">
        <v>4</v>
      </c>
      <c r="AH34" s="330" t="s">
        <v>4</v>
      </c>
      <c r="AI34" s="330" t="s">
        <v>4</v>
      </c>
      <c r="AJ34" s="330" t="s">
        <v>4</v>
      </c>
      <c r="AK34" s="330" t="s">
        <v>4</v>
      </c>
      <c r="AL34" s="330" t="s">
        <v>4</v>
      </c>
      <c r="AM34" s="330" t="s">
        <v>4</v>
      </c>
      <c r="AN34" s="330" t="s">
        <v>4</v>
      </c>
      <c r="AO34" s="330" t="s">
        <v>4</v>
      </c>
      <c r="AP34" s="330" t="s">
        <v>4</v>
      </c>
      <c r="AQ34" s="330" t="s">
        <v>4</v>
      </c>
      <c r="AR34" s="330" t="s">
        <v>4</v>
      </c>
      <c r="AS34" s="330" t="s">
        <v>4</v>
      </c>
      <c r="AT34" s="330" t="s">
        <v>4</v>
      </c>
      <c r="AU34" s="330" t="s">
        <v>4</v>
      </c>
      <c r="AV34" s="330" t="s">
        <v>4</v>
      </c>
      <c r="AW34" s="330" t="s">
        <v>4</v>
      </c>
      <c r="AX34" s="330" t="s">
        <v>4</v>
      </c>
      <c r="AY34" s="330" t="s">
        <v>4</v>
      </c>
      <c r="AZ34" s="330" t="s">
        <v>4</v>
      </c>
      <c r="BA34" s="330" t="s">
        <v>4</v>
      </c>
      <c r="BB34" s="330" t="s">
        <v>4</v>
      </c>
      <c r="BC34" s="330" t="s">
        <v>4</v>
      </c>
      <c r="BD34" s="330" t="s">
        <v>4</v>
      </c>
      <c r="BE34" s="330" t="s">
        <v>4</v>
      </c>
      <c r="BF34" s="330" t="s">
        <v>4</v>
      </c>
      <c r="BG34" s="330" t="s">
        <v>4</v>
      </c>
      <c r="BH34" s="330" t="s">
        <v>4</v>
      </c>
      <c r="BI34" s="330" t="s">
        <v>4</v>
      </c>
      <c r="BJ34" s="330" t="s">
        <v>4</v>
      </c>
      <c r="BK34" s="330" t="s">
        <v>4</v>
      </c>
      <c r="BL34" s="330" t="s">
        <v>4</v>
      </c>
      <c r="BM34" s="330" t="s">
        <v>4</v>
      </c>
      <c r="BN34" s="330" t="s">
        <v>4</v>
      </c>
      <c r="BO34" s="330" t="s">
        <v>4</v>
      </c>
      <c r="BP34" s="330" t="s">
        <v>4</v>
      </c>
      <c r="BQ34" s="330" t="s">
        <v>4</v>
      </c>
      <c r="BR34" s="330" t="s">
        <v>4</v>
      </c>
      <c r="BS34" s="330" t="s">
        <v>4</v>
      </c>
      <c r="BT34" s="330" t="s">
        <v>4</v>
      </c>
      <c r="BU34" s="330" t="s">
        <v>4</v>
      </c>
      <c r="BV34" s="330" t="s">
        <v>4</v>
      </c>
      <c r="BW34" s="330" t="s">
        <v>4</v>
      </c>
      <c r="BX34" s="330" t="s">
        <v>4</v>
      </c>
      <c r="BY34" s="330" t="s">
        <v>4</v>
      </c>
      <c r="BZ34" s="330" t="s">
        <v>4</v>
      </c>
      <c r="CA34" s="330" t="s">
        <v>4</v>
      </c>
      <c r="CB34" s="330" t="s">
        <v>4</v>
      </c>
      <c r="CC34" s="330" t="s">
        <v>4</v>
      </c>
      <c r="CD34" s="330" t="s">
        <v>4</v>
      </c>
      <c r="CE34" s="330" t="s">
        <v>4</v>
      </c>
      <c r="CF34" s="330" t="s">
        <v>4</v>
      </c>
      <c r="CG34" s="330" t="s">
        <v>4</v>
      </c>
      <c r="CH34" s="330" t="s">
        <v>4</v>
      </c>
      <c r="CI34" s="330" t="s">
        <v>4</v>
      </c>
      <c r="CJ34" s="330" t="s">
        <v>4</v>
      </c>
      <c r="CK34" s="330" t="s">
        <v>4</v>
      </c>
      <c r="CL34" s="330" t="s">
        <v>4</v>
      </c>
      <c r="CM34" s="330" t="s">
        <v>4</v>
      </c>
      <c r="CN34" s="330" t="s">
        <v>4</v>
      </c>
      <c r="CO34" s="330" t="s">
        <v>4</v>
      </c>
      <c r="CP34" s="330" t="s">
        <v>4</v>
      </c>
      <c r="CQ34" s="330" t="s">
        <v>4</v>
      </c>
      <c r="CR34" s="330" t="s">
        <v>4</v>
      </c>
      <c r="CS34" s="330" t="s">
        <v>4</v>
      </c>
      <c r="CT34" s="330" t="s">
        <v>4</v>
      </c>
      <c r="CU34" s="330" t="s">
        <v>4</v>
      </c>
    </row>
    <row r="35" spans="1:99" x14ac:dyDescent="0.35">
      <c r="A35" s="330" t="s">
        <v>797</v>
      </c>
      <c r="B35" s="330" t="s">
        <v>798</v>
      </c>
      <c r="C35" s="330">
        <v>8.7569999999999997</v>
      </c>
      <c r="D35" s="330">
        <v>8.4380000000000006</v>
      </c>
      <c r="E35" s="330">
        <v>7.5709999999999997</v>
      </c>
      <c r="F35" s="330">
        <v>6.6849999999999996</v>
      </c>
      <c r="G35" s="330">
        <v>6.5</v>
      </c>
      <c r="H35" s="330">
        <v>6.8579999999999997</v>
      </c>
      <c r="I35" s="330">
        <v>6.9980000000000002</v>
      </c>
      <c r="J35" s="330">
        <v>7.0819999999999999</v>
      </c>
      <c r="K35" s="330">
        <v>7.3849999999999998</v>
      </c>
      <c r="L35" s="330">
        <v>7.1740000000000004</v>
      </c>
      <c r="M35" s="330">
        <v>7.1020000000000003</v>
      </c>
      <c r="N35" s="330">
        <v>7.1870000000000003</v>
      </c>
      <c r="O35" s="330">
        <v>7.6719999999999997</v>
      </c>
      <c r="P35" s="330">
        <v>8.2810000000000006</v>
      </c>
      <c r="Q35" s="330">
        <v>8.6590000000000007</v>
      </c>
      <c r="R35" s="330">
        <v>8.8640000000000008</v>
      </c>
      <c r="S35" s="330">
        <v>9.0950000000000006</v>
      </c>
      <c r="T35" s="330">
        <v>10.272</v>
      </c>
      <c r="U35" s="330">
        <v>11.4</v>
      </c>
      <c r="V35" s="330">
        <v>12.04</v>
      </c>
      <c r="W35" s="330">
        <v>12.018000000000001</v>
      </c>
      <c r="X35" s="330">
        <v>12.167</v>
      </c>
      <c r="Y35" s="330">
        <v>13.028</v>
      </c>
      <c r="Z35" s="330">
        <v>13.254</v>
      </c>
      <c r="AA35" s="330">
        <v>13.414999999999999</v>
      </c>
      <c r="AB35" s="330">
        <v>13.539</v>
      </c>
      <c r="AC35" s="330">
        <v>13.769</v>
      </c>
      <c r="AD35" s="330">
        <v>14.238</v>
      </c>
      <c r="AE35" s="330">
        <v>14.71</v>
      </c>
      <c r="AF35" s="330">
        <v>15.045999999999999</v>
      </c>
      <c r="AG35" s="330">
        <v>15.253</v>
      </c>
      <c r="AH35" s="330">
        <v>15.462</v>
      </c>
      <c r="AI35" s="330">
        <v>15.627000000000001</v>
      </c>
      <c r="AJ35" s="330">
        <v>15.818</v>
      </c>
      <c r="AK35" s="330">
        <v>16</v>
      </c>
      <c r="AL35" s="330">
        <v>16.244</v>
      </c>
      <c r="AM35" s="330">
        <v>16.542000000000002</v>
      </c>
      <c r="AN35" s="330">
        <v>17.006</v>
      </c>
      <c r="AO35" s="330">
        <v>17.5</v>
      </c>
      <c r="AP35" s="330">
        <v>18.245999999999999</v>
      </c>
      <c r="AQ35" s="330">
        <v>19.14</v>
      </c>
      <c r="AR35" s="330">
        <v>20.151</v>
      </c>
      <c r="AS35" s="330">
        <v>21.173999999999999</v>
      </c>
      <c r="AT35" s="330">
        <v>22.091000000000001</v>
      </c>
      <c r="AU35" s="330">
        <v>23.303999999999998</v>
      </c>
      <c r="AV35" s="330">
        <v>25.396999999999998</v>
      </c>
      <c r="AW35" s="330">
        <v>27.751999999999999</v>
      </c>
      <c r="AX35" s="330">
        <v>29.283999999999999</v>
      </c>
      <c r="AY35" s="330">
        <v>31.105</v>
      </c>
      <c r="AZ35" s="330">
        <v>33.295000000000002</v>
      </c>
      <c r="BA35" s="330">
        <v>36.058</v>
      </c>
      <c r="BB35" s="330">
        <v>39.311</v>
      </c>
      <c r="BC35" s="330">
        <v>43.034999999999997</v>
      </c>
      <c r="BD35" s="330">
        <v>45.692999999999998</v>
      </c>
      <c r="BE35" s="330">
        <v>47.487000000000002</v>
      </c>
      <c r="BF35" s="330">
        <v>49.201000000000001</v>
      </c>
      <c r="BG35" s="330">
        <v>50.756999999999998</v>
      </c>
      <c r="BH35" s="330">
        <v>51.783999999999999</v>
      </c>
      <c r="BI35" s="330">
        <v>53.082000000000001</v>
      </c>
      <c r="BJ35" s="330">
        <v>54.956000000000003</v>
      </c>
      <c r="BK35" s="330">
        <v>57.118000000000002</v>
      </c>
      <c r="BL35" s="330">
        <v>59.265999999999998</v>
      </c>
      <c r="BM35" s="330">
        <v>61.281999999999996</v>
      </c>
      <c r="BN35" s="330">
        <v>62.677</v>
      </c>
      <c r="BO35" s="330">
        <v>64.161000000000001</v>
      </c>
      <c r="BP35" s="330">
        <v>65.528000000000006</v>
      </c>
      <c r="BQ35" s="330">
        <v>66.909000000000006</v>
      </c>
      <c r="BR35" s="330">
        <v>68.137</v>
      </c>
      <c r="BS35" s="330">
        <v>69.311999999999998</v>
      </c>
      <c r="BT35" s="330">
        <v>70.093000000000004</v>
      </c>
      <c r="BU35" s="330">
        <v>71.131</v>
      </c>
      <c r="BV35" s="330">
        <v>72.742999999999995</v>
      </c>
      <c r="BW35" s="330">
        <v>74.38</v>
      </c>
      <c r="BX35" s="330">
        <v>75.534999999999997</v>
      </c>
      <c r="BY35" s="330">
        <v>77.027000000000001</v>
      </c>
      <c r="BZ35" s="330">
        <v>79.097999999999999</v>
      </c>
      <c r="CA35" s="330">
        <v>81.58</v>
      </c>
      <c r="CB35" s="330">
        <v>84.096000000000004</v>
      </c>
      <c r="CC35" s="330">
        <v>86.376999999999995</v>
      </c>
      <c r="CD35" s="330">
        <v>88.046000000000006</v>
      </c>
      <c r="CE35" s="330">
        <v>88.581000000000003</v>
      </c>
      <c r="CF35" s="330">
        <v>89.66</v>
      </c>
      <c r="CG35" s="330">
        <v>91.513999999999996</v>
      </c>
      <c r="CH35" s="330">
        <v>93.216999999999999</v>
      </c>
      <c r="CI35" s="330">
        <v>94.801000000000002</v>
      </c>
      <c r="CJ35" s="330">
        <v>96.451999999999998</v>
      </c>
      <c r="CK35" s="330">
        <v>97.338999999999999</v>
      </c>
      <c r="CL35" s="330">
        <v>98.262</v>
      </c>
      <c r="CM35" s="330">
        <v>100</v>
      </c>
      <c r="CN35" s="330">
        <v>102.22499999999999</v>
      </c>
      <c r="CO35" s="330">
        <v>103.90900000000001</v>
      </c>
      <c r="CP35" s="330">
        <v>105.306</v>
      </c>
      <c r="CQ35" s="330">
        <v>110.108</v>
      </c>
      <c r="CR35" s="330">
        <v>117.93899999999999</v>
      </c>
      <c r="CS35" s="330">
        <v>122.301</v>
      </c>
      <c r="CT35" s="330">
        <v>125.33799999999999</v>
      </c>
      <c r="CU35" s="330">
        <v>128.88800000000001</v>
      </c>
    </row>
  </sheetData>
  <mergeCells count="4">
    <mergeCell ref="A1:CU1"/>
    <mergeCell ref="A2:CU2"/>
    <mergeCell ref="A3:CU3"/>
    <mergeCell ref="A4:CU4"/>
  </mergeCells>
  <phoneticPr fontId="26"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B102D-EC32-47BB-8EC8-2F97F5438221}">
  <sheetPr codeName="Sheet35">
    <tabColor theme="1"/>
  </sheetPr>
  <dimension ref="A1:S472"/>
  <sheetViews>
    <sheetView workbookViewId="0"/>
  </sheetViews>
  <sheetFormatPr defaultRowHeight="14.5" x14ac:dyDescent="0.35"/>
  <cols>
    <col min="2" max="2" width="45" customWidth="1"/>
    <col min="3" max="4" width="21.453125" customWidth="1"/>
    <col min="5" max="5" width="21.453125" style="52" customWidth="1"/>
    <col min="6" max="6" width="21.453125" customWidth="1"/>
    <col min="7" max="7" width="25" customWidth="1"/>
  </cols>
  <sheetData>
    <row r="1" spans="1:19" s="95" customFormat="1" x14ac:dyDescent="0.35">
      <c r="A1" s="94" t="s">
        <v>34</v>
      </c>
      <c r="E1" s="96"/>
    </row>
    <row r="2" spans="1:19" s="95" customFormat="1" x14ac:dyDescent="0.35">
      <c r="A2" s="94" t="s">
        <v>799</v>
      </c>
      <c r="E2" s="96"/>
    </row>
    <row r="3" spans="1:19" s="95" customFormat="1" x14ac:dyDescent="0.35">
      <c r="A3" s="97" t="s">
        <v>800</v>
      </c>
      <c r="E3" s="96"/>
    </row>
    <row r="4" spans="1:19" x14ac:dyDescent="0.35">
      <c r="A4" s="192" t="s">
        <v>801</v>
      </c>
    </row>
    <row r="5" spans="1:19" s="77" customFormat="1" ht="15" thickBot="1" x14ac:dyDescent="0.4">
      <c r="A5" s="193"/>
      <c r="E5" s="98"/>
    </row>
    <row r="6" spans="1:19" s="99" customFormat="1" x14ac:dyDescent="0.35">
      <c r="E6" s="100"/>
    </row>
    <row r="7" spans="1:19" x14ac:dyDescent="0.35">
      <c r="A7" s="101" t="s">
        <v>802</v>
      </c>
      <c r="F7" s="866" t="s">
        <v>803</v>
      </c>
      <c r="G7" s="866"/>
      <c r="H7" s="866"/>
      <c r="I7" s="866"/>
      <c r="J7" s="866"/>
      <c r="K7" s="866"/>
      <c r="L7" s="866"/>
      <c r="M7" s="866"/>
      <c r="N7" s="866"/>
      <c r="O7" s="866"/>
      <c r="P7" s="866"/>
      <c r="Q7" s="866"/>
      <c r="R7" s="866"/>
      <c r="S7" s="866"/>
    </row>
    <row r="8" spans="1:19" ht="14.9" customHeight="1" thickBot="1" x14ac:dyDescent="0.4">
      <c r="F8" s="866"/>
      <c r="G8" s="866"/>
      <c r="H8" s="866"/>
      <c r="I8" s="866"/>
      <c r="J8" s="866"/>
      <c r="K8" s="866"/>
      <c r="L8" s="866"/>
      <c r="M8" s="866"/>
      <c r="N8" s="866"/>
      <c r="O8" s="866"/>
      <c r="P8" s="866"/>
      <c r="Q8" s="866"/>
      <c r="R8" s="866"/>
      <c r="S8" s="866"/>
    </row>
    <row r="9" spans="1:19" ht="14.9" customHeight="1" x14ac:dyDescent="0.35">
      <c r="B9" s="867" t="s">
        <v>804</v>
      </c>
      <c r="C9" s="868"/>
      <c r="D9" s="194">
        <v>7.0000000000000007E-2</v>
      </c>
      <c r="E9"/>
    </row>
    <row r="10" spans="1:19" ht="14.9" customHeight="1" x14ac:dyDescent="0.35">
      <c r="B10" s="195"/>
      <c r="C10" s="195"/>
      <c r="D10" s="196"/>
      <c r="E10"/>
      <c r="F10" s="866" t="s">
        <v>805</v>
      </c>
      <c r="G10" s="866"/>
      <c r="H10" s="866"/>
      <c r="I10" s="866"/>
      <c r="J10" s="866"/>
      <c r="K10" s="866"/>
      <c r="L10" s="866"/>
      <c r="M10" s="866"/>
      <c r="N10" s="866"/>
      <c r="O10" s="866"/>
      <c r="P10" s="866"/>
      <c r="Q10" s="866"/>
      <c r="R10" s="866"/>
      <c r="S10" s="866"/>
    </row>
    <row r="11" spans="1:19" ht="14.9" customHeight="1" x14ac:dyDescent="0.35">
      <c r="B11" s="195"/>
      <c r="C11" s="195"/>
      <c r="D11" s="196"/>
      <c r="E11"/>
      <c r="F11" s="866"/>
      <c r="G11" s="866"/>
      <c r="H11" s="866"/>
      <c r="I11" s="866"/>
      <c r="J11" s="866"/>
      <c r="K11" s="866"/>
      <c r="L11" s="866"/>
      <c r="M11" s="866"/>
      <c r="N11" s="866"/>
      <c r="O11" s="866"/>
      <c r="P11" s="866"/>
      <c r="Q11" s="866"/>
      <c r="R11" s="866"/>
      <c r="S11" s="866"/>
    </row>
    <row r="12" spans="1:19" ht="14.9" customHeight="1" x14ac:dyDescent="0.35">
      <c r="B12" s="195"/>
      <c r="C12" s="195"/>
      <c r="D12" s="196"/>
      <c r="E12"/>
      <c r="F12" s="866"/>
      <c r="G12" s="866"/>
      <c r="H12" s="866"/>
      <c r="I12" s="866"/>
      <c r="J12" s="866"/>
      <c r="K12" s="866"/>
      <c r="L12" s="866"/>
      <c r="M12" s="866"/>
      <c r="N12" s="866"/>
      <c r="O12" s="866"/>
      <c r="P12" s="866"/>
      <c r="Q12" s="866"/>
      <c r="R12" s="866"/>
      <c r="S12" s="866"/>
    </row>
    <row r="13" spans="1:19" x14ac:dyDescent="0.35">
      <c r="B13" s="197"/>
      <c r="C13" s="197"/>
    </row>
    <row r="14" spans="1:19" x14ac:dyDescent="0.35">
      <c r="B14" s="197"/>
      <c r="C14" s="197"/>
      <c r="F14" s="866" t="s">
        <v>806</v>
      </c>
      <c r="G14" s="866"/>
      <c r="H14" s="866"/>
      <c r="I14" s="866"/>
      <c r="J14" s="866"/>
      <c r="K14" s="866"/>
      <c r="L14" s="866"/>
      <c r="M14" s="866"/>
      <c r="N14" s="866"/>
      <c r="O14" s="866"/>
      <c r="P14" s="866"/>
      <c r="Q14" s="866"/>
      <c r="R14" s="866"/>
      <c r="S14" s="866"/>
    </row>
    <row r="15" spans="1:19" x14ac:dyDescent="0.35">
      <c r="B15" s="197"/>
      <c r="C15" s="197"/>
      <c r="F15" s="866"/>
      <c r="G15" s="866"/>
      <c r="H15" s="866"/>
      <c r="I15" s="866"/>
      <c r="J15" s="866"/>
      <c r="K15" s="866"/>
      <c r="L15" s="866"/>
      <c r="M15" s="866"/>
      <c r="N15" s="866"/>
      <c r="O15" s="866"/>
      <c r="P15" s="866"/>
      <c r="Q15" s="866"/>
      <c r="R15" s="866"/>
      <c r="S15" s="866"/>
    </row>
    <row r="16" spans="1:19" x14ac:dyDescent="0.35">
      <c r="B16" s="197"/>
      <c r="C16" s="197"/>
    </row>
    <row r="17" spans="1:19" x14ac:dyDescent="0.35">
      <c r="B17" s="197"/>
      <c r="C17" s="197"/>
      <c r="F17" s="866" t="s">
        <v>807</v>
      </c>
      <c r="G17" s="866"/>
      <c r="H17" s="866"/>
      <c r="I17" s="866"/>
      <c r="J17" s="866"/>
      <c r="K17" s="866"/>
      <c r="L17" s="866"/>
      <c r="M17" s="866"/>
      <c r="N17" s="866"/>
      <c r="O17" s="866"/>
      <c r="P17" s="866"/>
      <c r="Q17" s="866"/>
      <c r="R17" s="866"/>
      <c r="S17" s="866"/>
    </row>
    <row r="18" spans="1:19" x14ac:dyDescent="0.35">
      <c r="B18" s="197"/>
      <c r="C18" s="197"/>
      <c r="F18" s="866"/>
      <c r="G18" s="866"/>
      <c r="H18" s="866"/>
      <c r="I18" s="866"/>
      <c r="J18" s="866"/>
      <c r="K18" s="866"/>
      <c r="L18" s="866"/>
      <c r="M18" s="866"/>
      <c r="N18" s="866"/>
      <c r="O18" s="866"/>
      <c r="P18" s="866"/>
      <c r="Q18" s="866"/>
      <c r="R18" s="866"/>
      <c r="S18" s="866"/>
    </row>
    <row r="19" spans="1:19" x14ac:dyDescent="0.35">
      <c r="B19" s="197"/>
      <c r="C19" s="197"/>
      <c r="F19" s="866"/>
      <c r="G19" s="866"/>
      <c r="H19" s="866"/>
      <c r="I19" s="866"/>
      <c r="J19" s="866"/>
      <c r="K19" s="866"/>
      <c r="L19" s="866"/>
      <c r="M19" s="866"/>
      <c r="N19" s="866"/>
      <c r="O19" s="866"/>
      <c r="P19" s="866"/>
      <c r="Q19" s="866"/>
      <c r="R19" s="866"/>
      <c r="S19" s="866"/>
    </row>
    <row r="20" spans="1:19" x14ac:dyDescent="0.35">
      <c r="B20" s="197"/>
      <c r="C20" s="197"/>
    </row>
    <row r="21" spans="1:19" s="77" customFormat="1" ht="15" thickBot="1" x14ac:dyDescent="0.4">
      <c r="A21" s="198"/>
      <c r="E21" s="98"/>
    </row>
    <row r="22" spans="1:19" s="99" customFormat="1" x14ac:dyDescent="0.35">
      <c r="E22" s="100"/>
    </row>
    <row r="23" spans="1:19" x14ac:dyDescent="0.35">
      <c r="A23" s="101" t="s">
        <v>808</v>
      </c>
    </row>
    <row r="24" spans="1:19" x14ac:dyDescent="0.35">
      <c r="A24" s="102" t="s">
        <v>809</v>
      </c>
    </row>
    <row r="25" spans="1:19" ht="15" thickBot="1" x14ac:dyDescent="0.4"/>
    <row r="26" spans="1:19" ht="29" x14ac:dyDescent="0.35">
      <c r="B26" s="199" t="s">
        <v>810</v>
      </c>
      <c r="C26" s="200" t="s">
        <v>811</v>
      </c>
      <c r="E26" s="51" t="s">
        <v>812</v>
      </c>
    </row>
    <row r="27" spans="1:19" x14ac:dyDescent="0.35">
      <c r="B27" s="103" t="s">
        <v>813</v>
      </c>
      <c r="C27" s="104">
        <v>5500</v>
      </c>
      <c r="E27" s="201" t="s">
        <v>814</v>
      </c>
    </row>
    <row r="28" spans="1:19" x14ac:dyDescent="0.35">
      <c r="B28" s="103" t="s">
        <v>815</v>
      </c>
      <c r="C28" s="104">
        <v>122400</v>
      </c>
    </row>
    <row r="29" spans="1:19" x14ac:dyDescent="0.35">
      <c r="B29" s="103" t="s">
        <v>816</v>
      </c>
      <c r="C29" s="104">
        <v>256300</v>
      </c>
      <c r="E29" s="105" t="s">
        <v>817</v>
      </c>
    </row>
    <row r="30" spans="1:19" x14ac:dyDescent="0.35">
      <c r="B30" s="103" t="s">
        <v>818</v>
      </c>
      <c r="C30" s="104">
        <v>1302300</v>
      </c>
    </row>
    <row r="31" spans="1:19" x14ac:dyDescent="0.35">
      <c r="B31" s="103" t="s">
        <v>219</v>
      </c>
      <c r="C31" s="104">
        <v>13700000</v>
      </c>
    </row>
    <row r="32" spans="1:19" ht="15" thickBot="1" x14ac:dyDescent="0.4">
      <c r="B32" s="106" t="s">
        <v>222</v>
      </c>
      <c r="C32" s="107">
        <v>238500</v>
      </c>
    </row>
    <row r="33" spans="2:5" ht="15" thickBot="1" x14ac:dyDescent="0.4">
      <c r="D33" s="108"/>
    </row>
    <row r="34" spans="2:5" ht="29" x14ac:dyDescent="0.35">
      <c r="B34" s="199" t="s">
        <v>819</v>
      </c>
      <c r="C34" s="200" t="s">
        <v>811</v>
      </c>
      <c r="E34" s="8" t="s">
        <v>820</v>
      </c>
    </row>
    <row r="35" spans="2:5" ht="16.5" x14ac:dyDescent="0.35">
      <c r="B35" s="103" t="s">
        <v>821</v>
      </c>
      <c r="C35" s="109">
        <v>9700</v>
      </c>
      <c r="E35" t="s">
        <v>822</v>
      </c>
    </row>
    <row r="36" spans="2:5" ht="16.5" x14ac:dyDescent="0.35">
      <c r="B36" s="103" t="s">
        <v>823</v>
      </c>
      <c r="C36" s="109">
        <v>342400</v>
      </c>
      <c r="E36" s="52" t="s">
        <v>824</v>
      </c>
    </row>
    <row r="37" spans="2:5" ht="17" thickBot="1" x14ac:dyDescent="0.4">
      <c r="B37" s="762" t="s">
        <v>825</v>
      </c>
      <c r="C37" s="763">
        <v>15366900</v>
      </c>
      <c r="E37" s="52" t="s">
        <v>826</v>
      </c>
    </row>
    <row r="38" spans="2:5" ht="15" thickBot="1" x14ac:dyDescent="0.4">
      <c r="B38" s="99"/>
      <c r="C38" s="99"/>
      <c r="E38" s="52" t="s">
        <v>827</v>
      </c>
    </row>
    <row r="39" spans="2:5" x14ac:dyDescent="0.35">
      <c r="B39" s="202" t="s">
        <v>560</v>
      </c>
      <c r="C39" s="203" t="s">
        <v>36</v>
      </c>
      <c r="D39" s="110" t="s">
        <v>828</v>
      </c>
    </row>
    <row r="40" spans="2:5" x14ac:dyDescent="0.35">
      <c r="B40" s="111" t="s">
        <v>829</v>
      </c>
      <c r="C40" s="112">
        <v>1.77</v>
      </c>
      <c r="D40" s="110">
        <v>1</v>
      </c>
    </row>
    <row r="41" spans="2:5" x14ac:dyDescent="0.35">
      <c r="B41" s="111" t="s">
        <v>830</v>
      </c>
      <c r="C41" s="112">
        <v>1.44</v>
      </c>
      <c r="D41" s="110">
        <v>1</v>
      </c>
    </row>
    <row r="42" spans="2:5" ht="15" thickBot="1" x14ac:dyDescent="0.4">
      <c r="B42" s="113" t="s">
        <v>831</v>
      </c>
      <c r="C42" s="114">
        <v>1.0900000000000001</v>
      </c>
      <c r="D42" s="110">
        <v>1</v>
      </c>
    </row>
    <row r="44" spans="2:5" ht="14.9" customHeight="1" x14ac:dyDescent="0.35">
      <c r="B44" s="843" t="s">
        <v>832</v>
      </c>
      <c r="C44" s="843"/>
    </row>
    <row r="45" spans="2:5" ht="14.9" customHeight="1" x14ac:dyDescent="0.35">
      <c r="B45" s="843"/>
      <c r="C45" s="843"/>
    </row>
    <row r="46" spans="2:5" x14ac:dyDescent="0.35">
      <c r="B46" s="843"/>
      <c r="C46" s="843"/>
    </row>
    <row r="47" spans="2:5" x14ac:dyDescent="0.35">
      <c r="B47" s="843"/>
      <c r="C47" s="843"/>
    </row>
    <row r="48" spans="2:5" x14ac:dyDescent="0.35">
      <c r="B48" s="843"/>
      <c r="C48" s="843"/>
    </row>
    <row r="49" spans="1:12" x14ac:dyDescent="0.35">
      <c r="B49" s="843"/>
      <c r="C49" s="843"/>
    </row>
    <row r="50" spans="1:12" x14ac:dyDescent="0.35">
      <c r="B50" s="843"/>
      <c r="C50" s="843"/>
    </row>
    <row r="51" spans="1:12" x14ac:dyDescent="0.35">
      <c r="B51" s="55"/>
      <c r="C51" s="55"/>
    </row>
    <row r="52" spans="1:12" s="77" customFormat="1" ht="15" thickBot="1" x14ac:dyDescent="0.4">
      <c r="A52" s="198"/>
      <c r="E52" s="98"/>
    </row>
    <row r="53" spans="1:12" s="99" customFormat="1" x14ac:dyDescent="0.35">
      <c r="E53" s="100"/>
    </row>
    <row r="54" spans="1:12" x14ac:dyDescent="0.35">
      <c r="A54" s="101" t="s">
        <v>833</v>
      </c>
    </row>
    <row r="55" spans="1:12" x14ac:dyDescent="0.35">
      <c r="A55" s="102" t="s">
        <v>834</v>
      </c>
    </row>
    <row r="56" spans="1:12" ht="15" thickBot="1" x14ac:dyDescent="0.4"/>
    <row r="57" spans="1:12" ht="14.9" customHeight="1" x14ac:dyDescent="0.35">
      <c r="B57" s="869" t="s">
        <v>835</v>
      </c>
      <c r="C57" s="847"/>
      <c r="E57" s="52" t="s">
        <v>836</v>
      </c>
    </row>
    <row r="58" spans="1:12" x14ac:dyDescent="0.35">
      <c r="B58" s="115" t="s">
        <v>837</v>
      </c>
      <c r="C58" s="116" t="s">
        <v>838</v>
      </c>
      <c r="E58" s="204" t="s">
        <v>839</v>
      </c>
    </row>
    <row r="59" spans="1:12" x14ac:dyDescent="0.35">
      <c r="B59" s="764" t="s">
        <v>840</v>
      </c>
      <c r="C59" s="765"/>
    </row>
    <row r="60" spans="1:12" ht="16.5" x14ac:dyDescent="0.35">
      <c r="B60" s="117" t="s">
        <v>841</v>
      </c>
      <c r="C60" s="205">
        <v>20.100000000000001</v>
      </c>
    </row>
    <row r="61" spans="1:12" s="52" customFormat="1" ht="16.5" x14ac:dyDescent="0.35">
      <c r="A61"/>
      <c r="B61" s="117" t="s">
        <v>842</v>
      </c>
      <c r="C61" s="205">
        <v>34.6</v>
      </c>
      <c r="D61"/>
      <c r="F61"/>
      <c r="G61"/>
      <c r="H61"/>
      <c r="I61"/>
      <c r="J61"/>
      <c r="K61"/>
      <c r="L61"/>
    </row>
    <row r="62" spans="1:12" s="52" customFormat="1" ht="16.5" x14ac:dyDescent="0.35">
      <c r="A62"/>
      <c r="B62" s="117" t="s">
        <v>843</v>
      </c>
      <c r="C62" s="205">
        <v>21.8</v>
      </c>
      <c r="D62"/>
      <c r="F62"/>
      <c r="G62"/>
      <c r="H62"/>
      <c r="I62"/>
      <c r="J62"/>
      <c r="K62"/>
      <c r="L62"/>
    </row>
    <row r="63" spans="1:12" s="52" customFormat="1" x14ac:dyDescent="0.35">
      <c r="A63"/>
      <c r="B63" s="117"/>
      <c r="C63" s="206"/>
      <c r="D63"/>
      <c r="F63"/>
      <c r="G63"/>
      <c r="H63"/>
      <c r="I63"/>
      <c r="J63"/>
      <c r="K63"/>
      <c r="L63"/>
    </row>
    <row r="64" spans="1:12" s="52" customFormat="1" ht="31" x14ac:dyDescent="0.35">
      <c r="A64"/>
      <c r="B64" s="118" t="s">
        <v>844</v>
      </c>
      <c r="C64" s="205">
        <v>40.200000000000003</v>
      </c>
      <c r="D64"/>
      <c r="F64"/>
      <c r="G64"/>
      <c r="H64"/>
      <c r="I64"/>
      <c r="J64"/>
      <c r="K64"/>
      <c r="L64"/>
    </row>
    <row r="65" spans="1:12" s="52" customFormat="1" x14ac:dyDescent="0.35">
      <c r="A65"/>
      <c r="B65" s="117"/>
      <c r="C65" s="206"/>
      <c r="D65"/>
      <c r="F65"/>
      <c r="G65"/>
      <c r="H65"/>
      <c r="I65"/>
      <c r="J65"/>
      <c r="K65"/>
      <c r="L65"/>
    </row>
    <row r="66" spans="1:12" s="52" customFormat="1" ht="16.5" x14ac:dyDescent="0.35">
      <c r="A66"/>
      <c r="B66" s="119" t="s">
        <v>845</v>
      </c>
      <c r="C66" s="206"/>
      <c r="D66"/>
      <c r="F66"/>
      <c r="G66"/>
      <c r="H66"/>
      <c r="I66"/>
      <c r="J66"/>
      <c r="K66"/>
      <c r="L66"/>
    </row>
    <row r="67" spans="1:12" s="52" customFormat="1" x14ac:dyDescent="0.35">
      <c r="A67"/>
      <c r="B67" s="117" t="s">
        <v>846</v>
      </c>
      <c r="C67" s="205">
        <v>37.200000000000003</v>
      </c>
      <c r="D67"/>
      <c r="F67"/>
      <c r="G67"/>
      <c r="H67"/>
      <c r="I67"/>
      <c r="J67"/>
      <c r="K67"/>
      <c r="L67"/>
    </row>
    <row r="68" spans="1:12" s="52" customFormat="1" x14ac:dyDescent="0.35">
      <c r="A68"/>
      <c r="B68" s="117" t="s">
        <v>847</v>
      </c>
      <c r="C68" s="205">
        <v>40.299999999999997</v>
      </c>
      <c r="D68"/>
      <c r="F68"/>
      <c r="G68"/>
      <c r="H68"/>
      <c r="I68"/>
      <c r="J68"/>
      <c r="K68"/>
      <c r="L68"/>
    </row>
    <row r="69" spans="1:12" s="52" customFormat="1" x14ac:dyDescent="0.35">
      <c r="A69"/>
      <c r="B69" s="117" t="s">
        <v>848</v>
      </c>
      <c r="C69" s="205">
        <v>59.5</v>
      </c>
      <c r="D69"/>
      <c r="F69"/>
      <c r="G69"/>
      <c r="H69"/>
      <c r="I69"/>
      <c r="J69"/>
      <c r="K69"/>
      <c r="L69"/>
    </row>
    <row r="70" spans="1:12" s="52" customFormat="1" ht="15" thickBot="1" x14ac:dyDescent="0.4">
      <c r="A70"/>
      <c r="B70" s="120" t="s">
        <v>849</v>
      </c>
      <c r="C70" s="207">
        <v>54.2</v>
      </c>
      <c r="D70"/>
      <c r="F70"/>
      <c r="G70"/>
      <c r="H70"/>
      <c r="I70"/>
      <c r="J70"/>
      <c r="K70"/>
      <c r="L70"/>
    </row>
    <row r="71" spans="1:12" ht="15" thickBot="1" x14ac:dyDescent="0.4"/>
    <row r="72" spans="1:12" x14ac:dyDescent="0.35">
      <c r="B72" s="202" t="s">
        <v>560</v>
      </c>
      <c r="C72" s="203" t="s">
        <v>36</v>
      </c>
      <c r="D72" s="110" t="s">
        <v>828</v>
      </c>
    </row>
    <row r="73" spans="1:12" ht="29" x14ac:dyDescent="0.35">
      <c r="B73" s="121" t="s">
        <v>850</v>
      </c>
      <c r="C73" s="122">
        <v>28.2</v>
      </c>
      <c r="D73" s="110">
        <v>1</v>
      </c>
      <c r="E73" s="208">
        <v>50</v>
      </c>
      <c r="F73" s="123" t="s">
        <v>851</v>
      </c>
    </row>
    <row r="74" spans="1:12" x14ac:dyDescent="0.35">
      <c r="B74" s="111" t="s">
        <v>852</v>
      </c>
      <c r="C74" s="209">
        <v>0.88200000000000001</v>
      </c>
      <c r="D74" s="110">
        <v>2</v>
      </c>
    </row>
    <row r="75" spans="1:12" x14ac:dyDescent="0.35">
      <c r="B75" s="111" t="s">
        <v>853</v>
      </c>
      <c r="C75" s="209">
        <v>0.11799999999999999</v>
      </c>
      <c r="D75" s="110">
        <v>2</v>
      </c>
    </row>
    <row r="76" spans="1:12" x14ac:dyDescent="0.35">
      <c r="B76" s="121" t="s">
        <v>854</v>
      </c>
      <c r="C76" s="122">
        <v>53.5</v>
      </c>
      <c r="D76" s="110">
        <v>3</v>
      </c>
    </row>
    <row r="77" spans="1:12" ht="15" thickBot="1" x14ac:dyDescent="0.4">
      <c r="B77" s="124" t="s">
        <v>855</v>
      </c>
      <c r="C77" s="125">
        <v>86</v>
      </c>
      <c r="D77" s="110">
        <v>3</v>
      </c>
    </row>
    <row r="79" spans="1:12" s="52" customFormat="1" ht="15" customHeight="1" x14ac:dyDescent="0.35">
      <c r="A79"/>
      <c r="B79" s="844" t="s">
        <v>856</v>
      </c>
      <c r="C79" s="844"/>
      <c r="D79"/>
      <c r="F79"/>
      <c r="G79"/>
      <c r="H79"/>
      <c r="I79"/>
      <c r="J79"/>
      <c r="K79"/>
      <c r="L79"/>
    </row>
    <row r="80" spans="1:12" s="52" customFormat="1" x14ac:dyDescent="0.35">
      <c r="A80"/>
      <c r="B80" s="844"/>
      <c r="C80" s="844"/>
      <c r="D80"/>
      <c r="F80"/>
      <c r="G80"/>
      <c r="H80"/>
      <c r="I80"/>
      <c r="J80"/>
      <c r="K80"/>
      <c r="L80"/>
    </row>
    <row r="81" spans="1:12" s="52" customFormat="1" x14ac:dyDescent="0.35">
      <c r="A81"/>
      <c r="B81" s="844"/>
      <c r="C81" s="844"/>
      <c r="D81"/>
      <c r="F81"/>
      <c r="G81"/>
      <c r="H81"/>
      <c r="I81"/>
      <c r="J81"/>
      <c r="K81"/>
      <c r="L81"/>
    </row>
    <row r="82" spans="1:12" s="52" customFormat="1" x14ac:dyDescent="0.35">
      <c r="A82"/>
      <c r="B82" s="844"/>
      <c r="C82" s="844"/>
      <c r="D82" s="123"/>
      <c r="E82" s="123"/>
      <c r="F82"/>
      <c r="G82"/>
      <c r="H82"/>
      <c r="I82"/>
      <c r="J82"/>
      <c r="K82"/>
      <c r="L82"/>
    </row>
    <row r="83" spans="1:12" s="52" customFormat="1" x14ac:dyDescent="0.35">
      <c r="A83"/>
      <c r="B83" s="844"/>
      <c r="C83" s="844"/>
      <c r="D83" s="126"/>
      <c r="E83" s="123"/>
      <c r="F83"/>
      <c r="G83"/>
      <c r="H83"/>
      <c r="I83"/>
      <c r="J83"/>
      <c r="K83"/>
      <c r="L83"/>
    </row>
    <row r="84" spans="1:12" x14ac:dyDescent="0.35">
      <c r="B84" s="844"/>
      <c r="C84" s="844"/>
      <c r="D84" s="126"/>
    </row>
    <row r="85" spans="1:12" s="52" customFormat="1" ht="14.9" customHeight="1" x14ac:dyDescent="0.35">
      <c r="A85"/>
      <c r="B85" s="844"/>
      <c r="C85" s="844"/>
      <c r="F85"/>
      <c r="G85"/>
      <c r="H85"/>
      <c r="I85"/>
      <c r="J85"/>
      <c r="K85"/>
      <c r="L85"/>
    </row>
    <row r="87" spans="1:12" ht="14.9" customHeight="1" x14ac:dyDescent="0.35">
      <c r="B87" s="844" t="s">
        <v>857</v>
      </c>
      <c r="C87" s="844"/>
    </row>
    <row r="88" spans="1:12" x14ac:dyDescent="0.35">
      <c r="B88" s="844"/>
      <c r="C88" s="844"/>
    </row>
    <row r="89" spans="1:12" x14ac:dyDescent="0.35">
      <c r="B89" s="844"/>
      <c r="C89" s="844"/>
    </row>
    <row r="90" spans="1:12" x14ac:dyDescent="0.35">
      <c r="B90" s="844"/>
      <c r="C90" s="844"/>
    </row>
    <row r="91" spans="1:12" x14ac:dyDescent="0.35">
      <c r="B91" s="55"/>
      <c r="C91" s="55"/>
      <c r="E91" s="123"/>
    </row>
    <row r="92" spans="1:12" ht="14.9" customHeight="1" x14ac:dyDescent="0.35">
      <c r="B92" s="844" t="s">
        <v>858</v>
      </c>
      <c r="C92" s="844"/>
      <c r="E92" s="123"/>
    </row>
    <row r="93" spans="1:12" ht="14.9" customHeight="1" x14ac:dyDescent="0.35">
      <c r="B93" s="844"/>
      <c r="C93" s="844"/>
    </row>
    <row r="94" spans="1:12" x14ac:dyDescent="0.35">
      <c r="B94" s="844"/>
      <c r="C94" s="844"/>
    </row>
    <row r="95" spans="1:12" x14ac:dyDescent="0.35">
      <c r="B95" s="844"/>
      <c r="C95" s="844"/>
    </row>
    <row r="96" spans="1:12" x14ac:dyDescent="0.35">
      <c r="B96" s="844"/>
      <c r="C96" s="844"/>
    </row>
    <row r="97" spans="1:5" x14ac:dyDescent="0.35">
      <c r="D97" s="126"/>
    </row>
    <row r="98" spans="1:5" ht="14.9" customHeight="1" x14ac:dyDescent="0.35">
      <c r="B98" s="844" t="s">
        <v>859</v>
      </c>
      <c r="C98" s="844"/>
      <c r="D98" s="126"/>
    </row>
    <row r="99" spans="1:5" ht="15" customHeight="1" x14ac:dyDescent="0.35">
      <c r="B99" s="844"/>
      <c r="C99" s="844"/>
    </row>
    <row r="101" spans="1:5" ht="14.9" customHeight="1" x14ac:dyDescent="0.35">
      <c r="B101" s="844" t="s">
        <v>860</v>
      </c>
      <c r="C101" s="844"/>
    </row>
    <row r="102" spans="1:5" x14ac:dyDescent="0.35">
      <c r="B102" s="844"/>
      <c r="C102" s="844"/>
    </row>
    <row r="104" spans="1:5" ht="14.9" customHeight="1" thickBot="1" x14ac:dyDescent="0.4">
      <c r="A104" s="198"/>
      <c r="B104" s="77"/>
      <c r="C104" s="77"/>
      <c r="D104" s="77"/>
      <c r="E104" s="98"/>
    </row>
    <row r="105" spans="1:5" s="99" customFormat="1" x14ac:dyDescent="0.35">
      <c r="E105" s="100"/>
    </row>
    <row r="106" spans="1:5" x14ac:dyDescent="0.35">
      <c r="A106" s="101" t="s">
        <v>861</v>
      </c>
    </row>
    <row r="107" spans="1:5" x14ac:dyDescent="0.35">
      <c r="A107" s="102" t="s">
        <v>862</v>
      </c>
    </row>
    <row r="108" spans="1:5" ht="15" thickBot="1" x14ac:dyDescent="0.4"/>
    <row r="109" spans="1:5" x14ac:dyDescent="0.35">
      <c r="B109" s="199" t="s">
        <v>863</v>
      </c>
      <c r="C109" s="200" t="s">
        <v>864</v>
      </c>
      <c r="E109" s="105" t="s">
        <v>865</v>
      </c>
    </row>
    <row r="110" spans="1:5" ht="31" x14ac:dyDescent="0.35">
      <c r="B110" s="127" t="s">
        <v>866</v>
      </c>
      <c r="C110" s="128">
        <v>1.34</v>
      </c>
    </row>
    <row r="111" spans="1:5" ht="29" x14ac:dyDescent="0.35">
      <c r="B111" s="127" t="s">
        <v>867</v>
      </c>
      <c r="C111" s="128">
        <v>1.41</v>
      </c>
    </row>
    <row r="112" spans="1:5" ht="29" x14ac:dyDescent="0.35">
      <c r="B112" s="127" t="s">
        <v>868</v>
      </c>
      <c r="C112" s="128">
        <v>1.81</v>
      </c>
    </row>
    <row r="113" spans="1:5" ht="29.5" thickBot="1" x14ac:dyDescent="0.4">
      <c r="B113" s="766" t="s">
        <v>869</v>
      </c>
      <c r="C113" s="767">
        <v>1.52</v>
      </c>
    </row>
    <row r="114" spans="1:5" x14ac:dyDescent="0.35">
      <c r="B114" s="99"/>
      <c r="C114" s="99"/>
    </row>
    <row r="115" spans="1:5" ht="14.9" customHeight="1" x14ac:dyDescent="0.35">
      <c r="B115" s="844" t="s">
        <v>870</v>
      </c>
      <c r="C115" s="844"/>
    </row>
    <row r="116" spans="1:5" x14ac:dyDescent="0.35">
      <c r="B116" s="844"/>
      <c r="C116" s="844"/>
    </row>
    <row r="118" spans="1:5" s="77" customFormat="1" ht="15" thickBot="1" x14ac:dyDescent="0.4">
      <c r="A118" s="198"/>
      <c r="E118" s="98"/>
    </row>
    <row r="119" spans="1:5" s="99" customFormat="1" x14ac:dyDescent="0.35">
      <c r="E119" s="100"/>
    </row>
    <row r="120" spans="1:5" x14ac:dyDescent="0.35">
      <c r="A120" s="101" t="s">
        <v>871</v>
      </c>
    </row>
    <row r="121" spans="1:5" x14ac:dyDescent="0.35">
      <c r="A121" s="102" t="s">
        <v>872</v>
      </c>
    </row>
    <row r="122" spans="1:5" ht="15" thickBot="1" x14ac:dyDescent="0.4"/>
    <row r="123" spans="1:5" ht="29" x14ac:dyDescent="0.35">
      <c r="B123" s="199" t="s">
        <v>863</v>
      </c>
      <c r="C123" s="200" t="s">
        <v>873</v>
      </c>
      <c r="E123" t="s">
        <v>874</v>
      </c>
    </row>
    <row r="124" spans="1:5" ht="16.5" x14ac:dyDescent="0.35">
      <c r="B124" s="127" t="s">
        <v>875</v>
      </c>
      <c r="C124" s="210">
        <v>0.56000000000000005</v>
      </c>
      <c r="E124" s="131" t="s">
        <v>876</v>
      </c>
    </row>
    <row r="125" spans="1:5" ht="17" thickBot="1" x14ac:dyDescent="0.4">
      <c r="B125" s="129" t="s">
        <v>877</v>
      </c>
      <c r="C125" s="130">
        <v>1.23</v>
      </c>
    </row>
    <row r="127" spans="1:5" ht="15" customHeight="1" x14ac:dyDescent="0.35">
      <c r="B127" s="844" t="s">
        <v>878</v>
      </c>
      <c r="C127" s="844"/>
      <c r="E127" t="s">
        <v>879</v>
      </c>
    </row>
    <row r="128" spans="1:5" x14ac:dyDescent="0.35">
      <c r="B128" s="844"/>
      <c r="C128" s="844"/>
      <c r="E128" s="131" t="s">
        <v>880</v>
      </c>
    </row>
    <row r="129" spans="1:7" x14ac:dyDescent="0.35">
      <c r="B129" s="844"/>
      <c r="C129" s="844"/>
    </row>
    <row r="130" spans="1:7" x14ac:dyDescent="0.35">
      <c r="B130" s="844"/>
      <c r="C130" s="844"/>
    </row>
    <row r="131" spans="1:7" x14ac:dyDescent="0.35">
      <c r="B131" s="844"/>
      <c r="C131" s="844"/>
      <c r="E131"/>
    </row>
    <row r="133" spans="1:7" ht="14.9" customHeight="1" x14ac:dyDescent="0.35">
      <c r="B133" s="845" t="s">
        <v>881</v>
      </c>
      <c r="C133" s="845"/>
    </row>
    <row r="134" spans="1:7" x14ac:dyDescent="0.35">
      <c r="B134" s="845"/>
      <c r="C134" s="845"/>
    </row>
    <row r="135" spans="1:7" x14ac:dyDescent="0.35">
      <c r="B135" s="845"/>
      <c r="C135" s="845"/>
    </row>
    <row r="136" spans="1:7" x14ac:dyDescent="0.35">
      <c r="B136" s="845"/>
      <c r="C136" s="845"/>
    </row>
    <row r="137" spans="1:7" x14ac:dyDescent="0.35">
      <c r="B137" s="845"/>
      <c r="C137" s="845"/>
    </row>
    <row r="138" spans="1:7" x14ac:dyDescent="0.35">
      <c r="B138" s="132"/>
      <c r="C138" s="132"/>
    </row>
    <row r="139" spans="1:7" s="77" customFormat="1" ht="15" thickBot="1" x14ac:dyDescent="0.4">
      <c r="A139" s="193"/>
      <c r="E139" s="98"/>
    </row>
    <row r="140" spans="1:7" s="99" customFormat="1" x14ac:dyDescent="0.35">
      <c r="E140" s="100"/>
    </row>
    <row r="141" spans="1:7" x14ac:dyDescent="0.35">
      <c r="A141" s="101" t="s">
        <v>882</v>
      </c>
    </row>
    <row r="142" spans="1:7" ht="15" thickBot="1" x14ac:dyDescent="0.4">
      <c r="A142" s="102" t="s">
        <v>883</v>
      </c>
      <c r="E142"/>
    </row>
    <row r="143" spans="1:7" ht="15" customHeight="1" x14ac:dyDescent="0.35">
      <c r="B143" s="199"/>
      <c r="C143" s="846" t="s">
        <v>884</v>
      </c>
      <c r="D143" s="847"/>
      <c r="E143" s="173"/>
      <c r="G143" s="51" t="s">
        <v>885</v>
      </c>
    </row>
    <row r="144" spans="1:7" x14ac:dyDescent="0.35">
      <c r="B144" s="133" t="s">
        <v>886</v>
      </c>
      <c r="C144" s="211" t="s">
        <v>887</v>
      </c>
      <c r="D144" s="134" t="s">
        <v>888</v>
      </c>
      <c r="E144" s="170"/>
      <c r="G144" t="s">
        <v>889</v>
      </c>
    </row>
    <row r="145" spans="2:7" x14ac:dyDescent="0.35">
      <c r="B145" s="133" t="s">
        <v>890</v>
      </c>
      <c r="C145" s="211"/>
      <c r="D145" s="134"/>
      <c r="E145" s="170"/>
    </row>
    <row r="146" spans="2:7" x14ac:dyDescent="0.35">
      <c r="B146" s="212" t="s">
        <v>891</v>
      </c>
      <c r="C146" s="213">
        <v>259</v>
      </c>
      <c r="D146" s="135">
        <v>799</v>
      </c>
      <c r="E146" s="174"/>
      <c r="G146" s="51" t="s">
        <v>892</v>
      </c>
    </row>
    <row r="147" spans="2:7" x14ac:dyDescent="0.35">
      <c r="B147" s="212" t="s">
        <v>893</v>
      </c>
      <c r="C147" s="213">
        <v>281</v>
      </c>
      <c r="D147" s="135">
        <v>109</v>
      </c>
      <c r="E147" s="174"/>
    </row>
    <row r="148" spans="2:7" x14ac:dyDescent="0.35">
      <c r="B148" s="212" t="s">
        <v>894</v>
      </c>
      <c r="C148" s="213">
        <v>723</v>
      </c>
      <c r="D148" s="135">
        <v>109</v>
      </c>
      <c r="E148" s="174"/>
    </row>
    <row r="149" spans="2:7" x14ac:dyDescent="0.35">
      <c r="B149" s="212" t="s">
        <v>895</v>
      </c>
      <c r="C149" s="213">
        <v>327</v>
      </c>
      <c r="D149" s="135">
        <v>109</v>
      </c>
      <c r="E149" s="174"/>
    </row>
    <row r="150" spans="2:7" x14ac:dyDescent="0.35">
      <c r="B150" s="133" t="s">
        <v>896</v>
      </c>
      <c r="C150" s="214"/>
      <c r="D150" s="136"/>
      <c r="E150" s="175"/>
    </row>
    <row r="151" spans="2:7" x14ac:dyDescent="0.35">
      <c r="B151" s="212" t="s">
        <v>891</v>
      </c>
      <c r="C151" s="213">
        <v>655</v>
      </c>
      <c r="D151" s="135">
        <v>2356</v>
      </c>
      <c r="E151" s="174"/>
    </row>
    <row r="152" spans="2:7" x14ac:dyDescent="0.35">
      <c r="B152" s="212" t="s">
        <v>893</v>
      </c>
      <c r="C152" s="213">
        <v>642</v>
      </c>
      <c r="D152" s="135">
        <v>780</v>
      </c>
      <c r="E152" s="174"/>
    </row>
    <row r="153" spans="2:7" x14ac:dyDescent="0.35">
      <c r="B153" s="212" t="s">
        <v>894</v>
      </c>
      <c r="C153" s="213">
        <v>1084</v>
      </c>
      <c r="D153" s="135">
        <v>780</v>
      </c>
      <c r="E153" s="174"/>
    </row>
    <row r="154" spans="2:7" x14ac:dyDescent="0.35">
      <c r="B154" s="212" t="s">
        <v>895</v>
      </c>
      <c r="C154" s="213">
        <v>688</v>
      </c>
      <c r="D154" s="135">
        <v>780</v>
      </c>
      <c r="E154" s="174"/>
    </row>
    <row r="155" spans="2:7" x14ac:dyDescent="0.35">
      <c r="B155" s="133" t="s">
        <v>897</v>
      </c>
      <c r="C155" s="214"/>
      <c r="D155" s="136"/>
      <c r="E155" s="175"/>
    </row>
    <row r="156" spans="2:7" ht="15" thickBot="1" x14ac:dyDescent="0.4">
      <c r="B156" s="215" t="s">
        <v>898</v>
      </c>
      <c r="C156" s="216">
        <v>1.0900000000000001</v>
      </c>
      <c r="D156" s="137" t="s">
        <v>899</v>
      </c>
      <c r="E156" s="174"/>
    </row>
    <row r="157" spans="2:7" x14ac:dyDescent="0.35">
      <c r="C157" s="108"/>
      <c r="D157" s="138"/>
      <c r="E157" s="138"/>
    </row>
    <row r="158" spans="2:7" x14ac:dyDescent="0.35">
      <c r="B158" s="848" t="s">
        <v>900</v>
      </c>
      <c r="C158" s="848"/>
      <c r="D158" s="138"/>
      <c r="E158" s="138"/>
    </row>
    <row r="159" spans="2:7" x14ac:dyDescent="0.35">
      <c r="B159" s="110"/>
      <c r="C159" s="110"/>
      <c r="D159" s="138"/>
      <c r="E159" s="138"/>
    </row>
    <row r="160" spans="2:7" ht="90.65" customHeight="1" x14ac:dyDescent="0.35">
      <c r="B160" s="849" t="s">
        <v>901</v>
      </c>
      <c r="C160" s="849"/>
    </row>
    <row r="161" spans="1:8" s="77" customFormat="1" ht="15" thickBot="1" x14ac:dyDescent="0.4">
      <c r="A161" s="198"/>
      <c r="E161" s="98"/>
    </row>
    <row r="162" spans="1:8" s="99" customFormat="1" x14ac:dyDescent="0.35">
      <c r="E162" s="100"/>
    </row>
    <row r="163" spans="1:8" x14ac:dyDescent="0.35">
      <c r="A163" s="101" t="s">
        <v>902</v>
      </c>
    </row>
    <row r="164" spans="1:8" x14ac:dyDescent="0.35">
      <c r="A164" s="102" t="s">
        <v>903</v>
      </c>
    </row>
    <row r="165" spans="1:8" ht="15" thickBot="1" x14ac:dyDescent="0.4">
      <c r="B165" s="139" t="s">
        <v>42</v>
      </c>
      <c r="C165" s="139" t="s">
        <v>904</v>
      </c>
      <c r="D165" s="139" t="s">
        <v>638</v>
      </c>
      <c r="E165" s="140" t="s">
        <v>637</v>
      </c>
      <c r="F165" s="139"/>
    </row>
    <row r="166" spans="1:8" ht="16.5" x14ac:dyDescent="0.35">
      <c r="B166" s="199" t="s">
        <v>905</v>
      </c>
      <c r="C166" s="217" t="s">
        <v>906</v>
      </c>
      <c r="D166" s="217" t="s">
        <v>907</v>
      </c>
      <c r="E166" s="200" t="s">
        <v>908</v>
      </c>
      <c r="F166" s="170"/>
      <c r="G166" s="170"/>
      <c r="H166" s="218" t="s">
        <v>909</v>
      </c>
    </row>
    <row r="167" spans="1:8" x14ac:dyDescent="0.35">
      <c r="B167" s="103">
        <v>2025</v>
      </c>
      <c r="C167" s="219">
        <v>21600</v>
      </c>
      <c r="D167" s="219">
        <v>59000</v>
      </c>
      <c r="E167" s="220">
        <v>1054000</v>
      </c>
      <c r="F167" s="221"/>
      <c r="G167" s="222"/>
      <c r="H167" s="131" t="s">
        <v>910</v>
      </c>
    </row>
    <row r="168" spans="1:8" x14ac:dyDescent="0.35">
      <c r="B168" s="103">
        <v>2026</v>
      </c>
      <c r="C168" s="219">
        <v>22000</v>
      </c>
      <c r="D168" s="219">
        <v>60100</v>
      </c>
      <c r="E168" s="220">
        <v>1070700</v>
      </c>
      <c r="F168" s="221"/>
      <c r="G168" s="171"/>
      <c r="H168" s="223"/>
    </row>
    <row r="169" spans="1:8" ht="16.5" x14ac:dyDescent="0.45">
      <c r="B169" s="103">
        <v>2027</v>
      </c>
      <c r="C169" s="219">
        <v>22500</v>
      </c>
      <c r="D169" s="219">
        <v>61100</v>
      </c>
      <c r="E169" s="220">
        <v>1087800</v>
      </c>
      <c r="F169" s="221"/>
      <c r="G169" s="171"/>
      <c r="H169" s="224" t="s">
        <v>911</v>
      </c>
    </row>
    <row r="170" spans="1:8" x14ac:dyDescent="0.35">
      <c r="B170" s="103">
        <v>2028</v>
      </c>
      <c r="C170" s="219">
        <v>22900</v>
      </c>
      <c r="D170" s="219">
        <v>62200</v>
      </c>
      <c r="E170" s="220">
        <v>1105100</v>
      </c>
      <c r="F170" s="221"/>
      <c r="G170" s="171"/>
      <c r="H170" s="224"/>
    </row>
    <row r="171" spans="1:8" x14ac:dyDescent="0.35">
      <c r="B171" s="103">
        <v>2029</v>
      </c>
      <c r="C171" s="219">
        <v>23300</v>
      </c>
      <c r="D171" s="219">
        <v>63400</v>
      </c>
      <c r="E171" s="220">
        <v>1122600</v>
      </c>
      <c r="F171" s="221"/>
      <c r="G171" s="171"/>
    </row>
    <row r="172" spans="1:8" x14ac:dyDescent="0.35">
      <c r="B172" s="103">
        <v>2030</v>
      </c>
      <c r="C172" s="219">
        <v>23800</v>
      </c>
      <c r="D172" s="219">
        <v>64500</v>
      </c>
      <c r="E172" s="220">
        <v>1140500</v>
      </c>
      <c r="F172" s="221"/>
      <c r="G172" s="171"/>
      <c r="H172" s="225"/>
    </row>
    <row r="173" spans="1:8" x14ac:dyDescent="0.35">
      <c r="B173" s="103">
        <v>2031</v>
      </c>
      <c r="C173" s="219">
        <v>23800</v>
      </c>
      <c r="D173" s="219">
        <v>64500</v>
      </c>
      <c r="E173" s="220">
        <v>1140500</v>
      </c>
      <c r="F173" s="221"/>
      <c r="G173" s="171"/>
      <c r="H173" s="226"/>
    </row>
    <row r="174" spans="1:8" x14ac:dyDescent="0.35">
      <c r="B174" s="103">
        <v>2032</v>
      </c>
      <c r="C174" s="219">
        <v>23800</v>
      </c>
      <c r="D174" s="219">
        <v>64500</v>
      </c>
      <c r="E174" s="220">
        <v>1140500</v>
      </c>
      <c r="F174" s="221"/>
      <c r="G174" s="171"/>
      <c r="H174" s="227" t="s">
        <v>912</v>
      </c>
    </row>
    <row r="175" spans="1:8" x14ac:dyDescent="0.35">
      <c r="B175" s="103">
        <v>2033</v>
      </c>
      <c r="C175" s="219">
        <v>23800</v>
      </c>
      <c r="D175" s="219">
        <v>64500</v>
      </c>
      <c r="E175" s="220">
        <v>1140500</v>
      </c>
      <c r="F175" s="221"/>
      <c r="G175" s="171"/>
      <c r="H175" s="223" t="s">
        <v>913</v>
      </c>
    </row>
    <row r="176" spans="1:8" x14ac:dyDescent="0.35">
      <c r="B176" s="103">
        <v>2034</v>
      </c>
      <c r="C176" s="219">
        <v>23800</v>
      </c>
      <c r="D176" s="219">
        <v>64500</v>
      </c>
      <c r="E176" s="220">
        <v>1140500</v>
      </c>
      <c r="F176" s="221"/>
      <c r="G176" s="171"/>
      <c r="H176" s="228"/>
    </row>
    <row r="177" spans="2:14" ht="14.9" customHeight="1" x14ac:dyDescent="0.35">
      <c r="B177" s="103">
        <v>2035</v>
      </c>
      <c r="C177" s="219">
        <v>23800</v>
      </c>
      <c r="D177" s="219">
        <v>64500</v>
      </c>
      <c r="E177" s="220">
        <v>1140500</v>
      </c>
      <c r="F177" s="221"/>
      <c r="G177" s="171"/>
      <c r="H177" s="229"/>
      <c r="I177" s="229"/>
      <c r="J177" s="229"/>
      <c r="K177" s="229"/>
      <c r="L177" s="229"/>
      <c r="M177" s="229"/>
      <c r="N177" s="229"/>
    </row>
    <row r="178" spans="2:14" x14ac:dyDescent="0.35">
      <c r="B178" s="103">
        <v>2036</v>
      </c>
      <c r="C178" s="219">
        <v>23800</v>
      </c>
      <c r="D178" s="219">
        <v>64500</v>
      </c>
      <c r="E178" s="220">
        <v>1140500</v>
      </c>
      <c r="F178" s="221"/>
      <c r="G178" s="171"/>
      <c r="H178" s="229"/>
      <c r="I178" s="229"/>
      <c r="J178" s="229"/>
      <c r="K178" s="229"/>
      <c r="L178" s="229"/>
      <c r="M178" s="229"/>
      <c r="N178" s="229"/>
    </row>
    <row r="179" spans="2:14" x14ac:dyDescent="0.35">
      <c r="B179" s="103">
        <v>2037</v>
      </c>
      <c r="C179" s="219">
        <v>23800</v>
      </c>
      <c r="D179" s="219">
        <v>64500</v>
      </c>
      <c r="E179" s="220">
        <v>1140500</v>
      </c>
      <c r="F179" s="221"/>
      <c r="G179" s="171"/>
      <c r="H179" s="229"/>
      <c r="I179" s="229"/>
      <c r="J179" s="229"/>
      <c r="K179" s="229"/>
      <c r="L179" s="229"/>
      <c r="M179" s="229"/>
      <c r="N179" s="229"/>
    </row>
    <row r="180" spans="2:14" x14ac:dyDescent="0.35">
      <c r="B180" s="103">
        <v>2038</v>
      </c>
      <c r="C180" s="219">
        <v>23800</v>
      </c>
      <c r="D180" s="219">
        <v>64500</v>
      </c>
      <c r="E180" s="220">
        <v>1140500</v>
      </c>
      <c r="F180" s="221"/>
      <c r="G180" s="171"/>
      <c r="H180" s="229"/>
      <c r="I180" s="229"/>
      <c r="J180" s="229"/>
      <c r="K180" s="229"/>
      <c r="L180" s="229"/>
      <c r="M180" s="229"/>
      <c r="N180" s="229"/>
    </row>
    <row r="181" spans="2:14" x14ac:dyDescent="0.35">
      <c r="B181" s="103">
        <v>2039</v>
      </c>
      <c r="C181" s="219">
        <v>23800</v>
      </c>
      <c r="D181" s="219">
        <v>64500</v>
      </c>
      <c r="E181" s="220">
        <v>1140500</v>
      </c>
      <c r="F181" s="221"/>
      <c r="G181" s="171"/>
      <c r="H181" s="229"/>
      <c r="I181" s="229"/>
      <c r="J181" s="229"/>
      <c r="K181" s="229"/>
      <c r="L181" s="229"/>
      <c r="M181" s="229"/>
      <c r="N181" s="229"/>
    </row>
    <row r="182" spans="2:14" x14ac:dyDescent="0.35">
      <c r="B182" s="103">
        <v>2040</v>
      </c>
      <c r="C182" s="219">
        <v>23800</v>
      </c>
      <c r="D182" s="219">
        <v>64500</v>
      </c>
      <c r="E182" s="220">
        <v>1140500</v>
      </c>
      <c r="F182" s="221"/>
      <c r="G182" s="171"/>
      <c r="H182" s="229"/>
      <c r="I182" s="229"/>
      <c r="J182" s="229"/>
      <c r="K182" s="229"/>
      <c r="L182" s="229"/>
      <c r="M182" s="229"/>
      <c r="N182" s="229"/>
    </row>
    <row r="183" spans="2:14" x14ac:dyDescent="0.35">
      <c r="B183" s="103">
        <v>2041</v>
      </c>
      <c r="C183" s="219">
        <v>23800</v>
      </c>
      <c r="D183" s="219">
        <v>64500</v>
      </c>
      <c r="E183" s="220">
        <v>1140500</v>
      </c>
      <c r="F183" s="221"/>
      <c r="G183" s="171"/>
      <c r="H183" s="229"/>
      <c r="I183" s="229"/>
      <c r="J183" s="229"/>
      <c r="K183" s="229"/>
      <c r="L183" s="229"/>
      <c r="M183" s="229"/>
      <c r="N183" s="229"/>
    </row>
    <row r="184" spans="2:14" x14ac:dyDescent="0.35">
      <c r="B184" s="103">
        <v>2042</v>
      </c>
      <c r="C184" s="219">
        <v>23800</v>
      </c>
      <c r="D184" s="219">
        <v>64500</v>
      </c>
      <c r="E184" s="220">
        <v>1140500</v>
      </c>
      <c r="F184" s="221"/>
      <c r="G184" s="171"/>
      <c r="H184" s="229"/>
      <c r="I184" s="229"/>
      <c r="J184" s="229"/>
      <c r="K184" s="229"/>
      <c r="L184" s="229"/>
      <c r="M184" s="229"/>
      <c r="N184" s="229"/>
    </row>
    <row r="185" spans="2:14" x14ac:dyDescent="0.35">
      <c r="B185" s="103">
        <v>2043</v>
      </c>
      <c r="C185" s="219">
        <v>23800</v>
      </c>
      <c r="D185" s="219">
        <v>64500</v>
      </c>
      <c r="E185" s="220">
        <v>1140500</v>
      </c>
      <c r="F185" s="221"/>
      <c r="G185" s="171"/>
      <c r="H185" s="229"/>
      <c r="I185" s="229"/>
      <c r="J185" s="229"/>
      <c r="K185" s="229"/>
      <c r="L185" s="229"/>
      <c r="M185" s="229"/>
      <c r="N185" s="229"/>
    </row>
    <row r="186" spans="2:14" x14ac:dyDescent="0.35">
      <c r="B186" s="103">
        <v>2044</v>
      </c>
      <c r="C186" s="219">
        <v>23800</v>
      </c>
      <c r="D186" s="219">
        <v>64500</v>
      </c>
      <c r="E186" s="220">
        <v>1140500</v>
      </c>
      <c r="F186" s="221"/>
      <c r="G186" s="171"/>
      <c r="H186" s="229"/>
      <c r="I186" s="229"/>
      <c r="J186" s="229"/>
      <c r="K186" s="229"/>
      <c r="L186" s="229"/>
      <c r="M186" s="229"/>
      <c r="N186" s="229"/>
    </row>
    <row r="187" spans="2:14" x14ac:dyDescent="0.35">
      <c r="B187" s="103">
        <v>2045</v>
      </c>
      <c r="C187" s="219">
        <v>23800</v>
      </c>
      <c r="D187" s="219">
        <v>64500</v>
      </c>
      <c r="E187" s="220">
        <v>1140500</v>
      </c>
      <c r="F187" s="221"/>
      <c r="G187" s="171"/>
    </row>
    <row r="188" spans="2:14" x14ac:dyDescent="0.35">
      <c r="B188" s="103">
        <v>2046</v>
      </c>
      <c r="C188" s="219">
        <v>23800</v>
      </c>
      <c r="D188" s="219">
        <v>64500</v>
      </c>
      <c r="E188" s="220">
        <v>1140500</v>
      </c>
      <c r="F188" s="221"/>
      <c r="G188" s="171"/>
    </row>
    <row r="189" spans="2:14" x14ac:dyDescent="0.35">
      <c r="B189" s="103">
        <v>2047</v>
      </c>
      <c r="C189" s="219">
        <v>23800</v>
      </c>
      <c r="D189" s="219">
        <v>64500</v>
      </c>
      <c r="E189" s="220">
        <v>1140500</v>
      </c>
      <c r="F189" s="221"/>
      <c r="G189" s="171"/>
    </row>
    <row r="190" spans="2:14" x14ac:dyDescent="0.35">
      <c r="B190" s="103">
        <v>2048</v>
      </c>
      <c r="C190" s="219">
        <v>23800</v>
      </c>
      <c r="D190" s="219">
        <v>64500</v>
      </c>
      <c r="E190" s="220">
        <v>1140500</v>
      </c>
      <c r="F190" s="221"/>
      <c r="G190" s="171"/>
    </row>
    <row r="191" spans="2:14" x14ac:dyDescent="0.35">
      <c r="B191" s="103">
        <v>2049</v>
      </c>
      <c r="C191" s="219">
        <v>23800</v>
      </c>
      <c r="D191" s="219">
        <v>64500</v>
      </c>
      <c r="E191" s="220">
        <v>1140500</v>
      </c>
      <c r="F191" s="221"/>
      <c r="G191" s="171"/>
    </row>
    <row r="192" spans="2:14" x14ac:dyDescent="0.35">
      <c r="B192" s="103">
        <v>2050</v>
      </c>
      <c r="C192" s="219">
        <v>23800</v>
      </c>
      <c r="D192" s="219">
        <v>64500</v>
      </c>
      <c r="E192" s="220">
        <v>1140500</v>
      </c>
      <c r="F192" s="221"/>
      <c r="G192" s="171"/>
    </row>
    <row r="193" spans="2:7" x14ac:dyDescent="0.35">
      <c r="B193" s="103">
        <v>2051</v>
      </c>
      <c r="C193" s="219">
        <v>23800</v>
      </c>
      <c r="D193" s="219">
        <v>64500</v>
      </c>
      <c r="E193" s="220">
        <v>1140500</v>
      </c>
      <c r="F193" s="221"/>
      <c r="G193" s="171"/>
    </row>
    <row r="194" spans="2:7" x14ac:dyDescent="0.35">
      <c r="B194" s="103">
        <v>2052</v>
      </c>
      <c r="C194" s="219">
        <v>23800</v>
      </c>
      <c r="D194" s="219">
        <v>64500</v>
      </c>
      <c r="E194" s="220">
        <v>1140500</v>
      </c>
      <c r="F194" s="221"/>
      <c r="G194" s="172"/>
    </row>
    <row r="195" spans="2:7" x14ac:dyDescent="0.35">
      <c r="B195" s="103">
        <v>2053</v>
      </c>
      <c r="C195" s="219">
        <v>23800</v>
      </c>
      <c r="D195" s="219">
        <v>64500</v>
      </c>
      <c r="E195" s="220">
        <v>1140500</v>
      </c>
      <c r="F195" s="221"/>
      <c r="G195" s="172"/>
    </row>
    <row r="196" spans="2:7" x14ac:dyDescent="0.35">
      <c r="B196" s="103">
        <v>2054</v>
      </c>
      <c r="C196" s="219">
        <v>23800</v>
      </c>
      <c r="D196" s="219">
        <v>64500</v>
      </c>
      <c r="E196" s="220">
        <v>1140500</v>
      </c>
      <c r="F196" s="221"/>
      <c r="G196" s="172"/>
    </row>
    <row r="197" spans="2:7" x14ac:dyDescent="0.35">
      <c r="B197" s="103">
        <v>2055</v>
      </c>
      <c r="C197" s="219">
        <v>23800</v>
      </c>
      <c r="D197" s="219">
        <v>64500</v>
      </c>
      <c r="E197" s="220">
        <v>1140500</v>
      </c>
      <c r="F197" s="221"/>
      <c r="G197" s="172"/>
    </row>
    <row r="198" spans="2:7" x14ac:dyDescent="0.35">
      <c r="B198" s="768">
        <f>B197+1</f>
        <v>2056</v>
      </c>
      <c r="C198" s="769">
        <f>C$197</f>
        <v>23800</v>
      </c>
      <c r="D198" s="769">
        <f t="shared" ref="D198:E207" si="0">D$197</f>
        <v>64500</v>
      </c>
      <c r="E198" s="770">
        <f t="shared" si="0"/>
        <v>1140500</v>
      </c>
      <c r="F198" s="221"/>
      <c r="G198" s="172"/>
    </row>
    <row r="199" spans="2:7" x14ac:dyDescent="0.35">
      <c r="B199" s="321">
        <f t="shared" ref="B199:B207" si="1">B198+1</f>
        <v>2057</v>
      </c>
      <c r="C199" s="320">
        <f t="shared" ref="C199:C207" si="2">C$197</f>
        <v>23800</v>
      </c>
      <c r="D199" s="320">
        <f t="shared" si="0"/>
        <v>64500</v>
      </c>
      <c r="E199" s="322">
        <f t="shared" si="0"/>
        <v>1140500</v>
      </c>
      <c r="F199" s="221"/>
      <c r="G199" s="172"/>
    </row>
    <row r="200" spans="2:7" x14ac:dyDescent="0.35">
      <c r="B200" s="321">
        <f t="shared" si="1"/>
        <v>2058</v>
      </c>
      <c r="C200" s="320">
        <f t="shared" si="2"/>
        <v>23800</v>
      </c>
      <c r="D200" s="320">
        <f t="shared" si="0"/>
        <v>64500</v>
      </c>
      <c r="E200" s="322">
        <f t="shared" si="0"/>
        <v>1140500</v>
      </c>
      <c r="F200" s="221"/>
      <c r="G200" s="172"/>
    </row>
    <row r="201" spans="2:7" x14ac:dyDescent="0.35">
      <c r="B201" s="321">
        <f t="shared" si="1"/>
        <v>2059</v>
      </c>
      <c r="C201" s="320">
        <f t="shared" si="2"/>
        <v>23800</v>
      </c>
      <c r="D201" s="320">
        <f t="shared" si="0"/>
        <v>64500</v>
      </c>
      <c r="E201" s="322">
        <f t="shared" si="0"/>
        <v>1140500</v>
      </c>
      <c r="F201" s="326" t="s">
        <v>914</v>
      </c>
      <c r="G201" s="172"/>
    </row>
    <row r="202" spans="2:7" x14ac:dyDescent="0.35">
      <c r="B202" s="321">
        <f t="shared" si="1"/>
        <v>2060</v>
      </c>
      <c r="C202" s="320">
        <f t="shared" si="2"/>
        <v>23800</v>
      </c>
      <c r="D202" s="320">
        <f t="shared" si="0"/>
        <v>64500</v>
      </c>
      <c r="E202" s="322">
        <f t="shared" si="0"/>
        <v>1140500</v>
      </c>
      <c r="F202" s="221"/>
      <c r="G202" s="172"/>
    </row>
    <row r="203" spans="2:7" x14ac:dyDescent="0.35">
      <c r="B203" s="321">
        <f t="shared" si="1"/>
        <v>2061</v>
      </c>
      <c r="C203" s="320">
        <f t="shared" si="2"/>
        <v>23800</v>
      </c>
      <c r="D203" s="320">
        <f t="shared" si="0"/>
        <v>64500</v>
      </c>
      <c r="E203" s="322">
        <f t="shared" si="0"/>
        <v>1140500</v>
      </c>
      <c r="F203" s="221"/>
      <c r="G203" s="172"/>
    </row>
    <row r="204" spans="2:7" x14ac:dyDescent="0.35">
      <c r="B204" s="321">
        <f t="shared" si="1"/>
        <v>2062</v>
      </c>
      <c r="C204" s="320">
        <f t="shared" si="2"/>
        <v>23800</v>
      </c>
      <c r="D204" s="320">
        <f t="shared" si="0"/>
        <v>64500</v>
      </c>
      <c r="E204" s="322">
        <f t="shared" si="0"/>
        <v>1140500</v>
      </c>
      <c r="F204" s="221"/>
      <c r="G204" s="172"/>
    </row>
    <row r="205" spans="2:7" x14ac:dyDescent="0.35">
      <c r="B205" s="321">
        <f t="shared" si="1"/>
        <v>2063</v>
      </c>
      <c r="C205" s="320">
        <f t="shared" si="2"/>
        <v>23800</v>
      </c>
      <c r="D205" s="320">
        <f t="shared" si="0"/>
        <v>64500</v>
      </c>
      <c r="E205" s="322">
        <f t="shared" si="0"/>
        <v>1140500</v>
      </c>
      <c r="F205" s="221"/>
      <c r="G205" s="172"/>
    </row>
    <row r="206" spans="2:7" x14ac:dyDescent="0.35">
      <c r="B206" s="321">
        <f t="shared" si="1"/>
        <v>2064</v>
      </c>
      <c r="C206" s="320">
        <f t="shared" si="2"/>
        <v>23800</v>
      </c>
      <c r="D206" s="320">
        <f t="shared" si="0"/>
        <v>64500</v>
      </c>
      <c r="E206" s="322">
        <f t="shared" si="0"/>
        <v>1140500</v>
      </c>
      <c r="F206" s="221"/>
      <c r="G206" s="172"/>
    </row>
    <row r="207" spans="2:7" x14ac:dyDescent="0.35">
      <c r="B207" s="323">
        <f t="shared" si="1"/>
        <v>2065</v>
      </c>
      <c r="C207" s="324">
        <f t="shared" si="2"/>
        <v>23800</v>
      </c>
      <c r="D207" s="324">
        <f t="shared" si="0"/>
        <v>64500</v>
      </c>
      <c r="E207" s="325">
        <f t="shared" si="0"/>
        <v>1140500</v>
      </c>
      <c r="F207" s="221"/>
      <c r="G207" s="172"/>
    </row>
    <row r="208" spans="2:7" x14ac:dyDescent="0.35">
      <c r="B208" s="7"/>
      <c r="C208" s="221"/>
      <c r="D208" s="221"/>
      <c r="E208" s="221"/>
      <c r="F208" s="221"/>
      <c r="G208" s="172"/>
    </row>
    <row r="209" spans="1:8" x14ac:dyDescent="0.35">
      <c r="B209" s="7"/>
      <c r="C209" s="221"/>
      <c r="D209" s="221"/>
      <c r="E209" s="221"/>
      <c r="F209" s="221"/>
      <c r="G209" s="172"/>
    </row>
    <row r="210" spans="1:8" ht="15" thickBot="1" x14ac:dyDescent="0.4">
      <c r="F210" s="126"/>
    </row>
    <row r="211" spans="1:8" x14ac:dyDescent="0.35">
      <c r="B211" s="202" t="s">
        <v>560</v>
      </c>
      <c r="C211" s="203" t="s">
        <v>36</v>
      </c>
      <c r="D211" s="51" t="s">
        <v>828</v>
      </c>
      <c r="F211" s="126"/>
    </row>
    <row r="212" spans="1:8" ht="15" thickBot="1" x14ac:dyDescent="0.4">
      <c r="B212" s="124" t="s">
        <v>915</v>
      </c>
      <c r="C212" s="141">
        <v>1.1023000000000001</v>
      </c>
      <c r="D212" s="110" t="s">
        <v>899</v>
      </c>
      <c r="F212" s="126"/>
    </row>
    <row r="213" spans="1:8" x14ac:dyDescent="0.35">
      <c r="F213" s="126"/>
    </row>
    <row r="214" spans="1:8" ht="14.9" customHeight="1" x14ac:dyDescent="0.35">
      <c r="B214" s="844" t="s">
        <v>916</v>
      </c>
      <c r="C214" s="844"/>
      <c r="D214" s="844"/>
      <c r="E214" s="142"/>
    </row>
    <row r="215" spans="1:8" ht="15" customHeight="1" x14ac:dyDescent="0.35">
      <c r="B215" s="844"/>
      <c r="C215" s="844"/>
      <c r="D215" s="844"/>
      <c r="E215" s="142"/>
      <c r="F215" s="143"/>
    </row>
    <row r="216" spans="1:8" x14ac:dyDescent="0.35">
      <c r="B216" s="142"/>
      <c r="C216" s="142"/>
      <c r="F216" s="126"/>
    </row>
    <row r="217" spans="1:8" ht="16.5" x14ac:dyDescent="0.45">
      <c r="B217" s="51" t="s">
        <v>917</v>
      </c>
      <c r="C217" s="51"/>
      <c r="D217" s="51"/>
      <c r="E217" s="51"/>
      <c r="F217" s="51"/>
    </row>
    <row r="218" spans="1:8" ht="14.9" customHeight="1" x14ac:dyDescent="0.35">
      <c r="B218" s="142"/>
      <c r="C218" s="142"/>
    </row>
    <row r="219" spans="1:8" s="77" customFormat="1" ht="15" thickBot="1" x14ac:dyDescent="0.4">
      <c r="A219" s="198"/>
      <c r="E219" s="98"/>
    </row>
    <row r="220" spans="1:8" s="99" customFormat="1" x14ac:dyDescent="0.35">
      <c r="E220" s="100"/>
    </row>
    <row r="221" spans="1:8" x14ac:dyDescent="0.35">
      <c r="A221" s="101" t="s">
        <v>918</v>
      </c>
    </row>
    <row r="222" spans="1:8" x14ac:dyDescent="0.35">
      <c r="A222" s="102" t="s">
        <v>919</v>
      </c>
    </row>
    <row r="223" spans="1:8" ht="15" thickBot="1" x14ac:dyDescent="0.4"/>
    <row r="224" spans="1:8" ht="30" customHeight="1" x14ac:dyDescent="0.35">
      <c r="B224" s="230" t="s">
        <v>920</v>
      </c>
      <c r="C224" s="231" t="s">
        <v>921</v>
      </c>
      <c r="E224" t="s">
        <v>922</v>
      </c>
      <c r="H224" s="142"/>
    </row>
    <row r="225" spans="2:8" x14ac:dyDescent="0.35">
      <c r="B225" s="232">
        <v>2005</v>
      </c>
      <c r="C225" s="233">
        <v>1.54</v>
      </c>
      <c r="E225" s="227"/>
    </row>
    <row r="226" spans="2:8" ht="15" customHeight="1" x14ac:dyDescent="0.35">
      <c r="B226" s="232">
        <v>2006</v>
      </c>
      <c r="C226" s="233">
        <v>1.49</v>
      </c>
      <c r="E226" s="144" t="s">
        <v>923</v>
      </c>
      <c r="H226" s="234"/>
    </row>
    <row r="227" spans="2:8" x14ac:dyDescent="0.35">
      <c r="B227" s="232">
        <v>2007</v>
      </c>
      <c r="C227" s="233">
        <v>1.45</v>
      </c>
      <c r="G227" s="234"/>
      <c r="H227" s="234"/>
    </row>
    <row r="228" spans="2:8" x14ac:dyDescent="0.35">
      <c r="B228" s="232">
        <v>2008</v>
      </c>
      <c r="C228" s="233">
        <v>1.43</v>
      </c>
      <c r="G228" s="234"/>
      <c r="H228" s="234"/>
    </row>
    <row r="229" spans="2:8" x14ac:dyDescent="0.35">
      <c r="B229" s="232">
        <v>2009</v>
      </c>
      <c r="C229" s="233">
        <v>1.42</v>
      </c>
    </row>
    <row r="230" spans="2:8" x14ac:dyDescent="0.35">
      <c r="B230" s="232">
        <v>2010</v>
      </c>
      <c r="C230" s="233">
        <v>1.4</v>
      </c>
    </row>
    <row r="231" spans="2:8" x14ac:dyDescent="0.35">
      <c r="B231" s="232">
        <v>2011</v>
      </c>
      <c r="C231" s="233">
        <v>1.37</v>
      </c>
    </row>
    <row r="232" spans="2:8" x14ac:dyDescent="0.35">
      <c r="B232" s="232">
        <v>2012</v>
      </c>
      <c r="C232" s="233">
        <v>1.35</v>
      </c>
    </row>
    <row r="233" spans="2:8" x14ac:dyDescent="0.35">
      <c r="B233" s="232">
        <v>2013</v>
      </c>
      <c r="C233" s="233">
        <v>1.32</v>
      </c>
    </row>
    <row r="234" spans="2:8" x14ac:dyDescent="0.35">
      <c r="B234" s="232">
        <v>2014</v>
      </c>
      <c r="C234" s="233">
        <v>1.3</v>
      </c>
    </row>
    <row r="235" spans="2:8" x14ac:dyDescent="0.35">
      <c r="B235" s="232">
        <v>2015</v>
      </c>
      <c r="C235" s="233">
        <v>1.29</v>
      </c>
    </row>
    <row r="236" spans="2:8" x14ac:dyDescent="0.35">
      <c r="B236" s="232">
        <v>2016</v>
      </c>
      <c r="C236" s="233">
        <v>1.28</v>
      </c>
    </row>
    <row r="237" spans="2:8" x14ac:dyDescent="0.35">
      <c r="B237" s="232">
        <v>2017</v>
      </c>
      <c r="C237" s="233">
        <v>1.25</v>
      </c>
    </row>
    <row r="238" spans="2:8" x14ac:dyDescent="0.35">
      <c r="B238" s="232">
        <v>2018</v>
      </c>
      <c r="C238" s="233">
        <v>1.23</v>
      </c>
    </row>
    <row r="239" spans="2:8" x14ac:dyDescent="0.35">
      <c r="B239" s="232">
        <v>2019</v>
      </c>
      <c r="C239" s="233">
        <v>1.21</v>
      </c>
      <c r="D239" s="145"/>
    </row>
    <row r="240" spans="2:8" x14ac:dyDescent="0.35">
      <c r="B240" s="232">
        <v>2020</v>
      </c>
      <c r="C240" s="233">
        <v>1.19</v>
      </c>
      <c r="D240" s="145"/>
      <c r="E240" s="235"/>
    </row>
    <row r="241" spans="1:8" x14ac:dyDescent="0.35">
      <c r="B241" s="232">
        <v>2021</v>
      </c>
      <c r="C241" s="233">
        <v>1.1399999999999999</v>
      </c>
      <c r="D241" s="145"/>
    </row>
    <row r="242" spans="1:8" x14ac:dyDescent="0.35">
      <c r="B242" s="232">
        <v>2022</v>
      </c>
      <c r="C242" s="771">
        <v>1.06</v>
      </c>
      <c r="D242" s="145"/>
      <c r="E242"/>
    </row>
    <row r="243" spans="1:8" x14ac:dyDescent="0.35">
      <c r="B243" s="232">
        <v>2023</v>
      </c>
      <c r="C243" s="771">
        <v>1.02</v>
      </c>
      <c r="D243" s="145"/>
      <c r="E243" s="236"/>
      <c r="F243" s="236"/>
      <c r="G243" s="236"/>
      <c r="H243" s="236"/>
    </row>
    <row r="244" spans="1:8" ht="15" thickBot="1" x14ac:dyDescent="0.4">
      <c r="B244" s="232">
        <v>2024</v>
      </c>
      <c r="C244" s="237">
        <v>1</v>
      </c>
      <c r="E244" s="145"/>
      <c r="F244" s="145"/>
      <c r="G244" s="145"/>
      <c r="H244" s="145"/>
    </row>
    <row r="245" spans="1:8" s="77" customFormat="1" ht="15" thickBot="1" x14ac:dyDescent="0.4">
      <c r="A245" s="198"/>
      <c r="E245" s="98"/>
    </row>
    <row r="246" spans="1:8" s="99" customFormat="1" x14ac:dyDescent="0.35">
      <c r="E246" s="100"/>
    </row>
    <row r="247" spans="1:8" x14ac:dyDescent="0.35">
      <c r="A247" s="101" t="s">
        <v>924</v>
      </c>
    </row>
    <row r="248" spans="1:8" x14ac:dyDescent="0.35">
      <c r="A248" s="102" t="s">
        <v>925</v>
      </c>
    </row>
    <row r="249" spans="1:8" ht="15" thickBot="1" x14ac:dyDescent="0.4"/>
    <row r="250" spans="1:8" ht="45.75" customHeight="1" x14ac:dyDescent="0.35">
      <c r="B250" s="199" t="s">
        <v>926</v>
      </c>
      <c r="C250" s="200" t="s">
        <v>927</v>
      </c>
      <c r="F250" t="s">
        <v>928</v>
      </c>
    </row>
    <row r="251" spans="1:8" ht="45.75" customHeight="1" x14ac:dyDescent="0.35">
      <c r="B251" s="766" t="s">
        <v>929</v>
      </c>
      <c r="C251" s="772">
        <v>0.13</v>
      </c>
      <c r="F251" s="51" t="s">
        <v>930</v>
      </c>
    </row>
    <row r="252" spans="1:8" ht="19.5" customHeight="1" x14ac:dyDescent="0.35">
      <c r="B252" s="766" t="s">
        <v>931</v>
      </c>
      <c r="C252" s="772">
        <v>1.24</v>
      </c>
      <c r="F252" s="238" t="s">
        <v>932</v>
      </c>
    </row>
    <row r="253" spans="1:8" ht="45.75" customHeight="1" x14ac:dyDescent="0.35">
      <c r="B253" s="766" t="s">
        <v>933</v>
      </c>
      <c r="C253" s="772">
        <v>0.1</v>
      </c>
      <c r="F253" s="51"/>
    </row>
    <row r="254" spans="1:8" ht="45.75" customHeight="1" x14ac:dyDescent="0.35">
      <c r="B254" s="773" t="s">
        <v>934</v>
      </c>
      <c r="C254" s="774">
        <v>1.1000000000000001E-3</v>
      </c>
      <c r="F254" s="51"/>
    </row>
    <row r="255" spans="1:8" ht="33.75" customHeight="1" x14ac:dyDescent="0.35">
      <c r="B255" s="239" t="s">
        <v>926</v>
      </c>
      <c r="C255" s="240" t="s">
        <v>935</v>
      </c>
    </row>
    <row r="256" spans="1:8" ht="45.75" customHeight="1" x14ac:dyDescent="0.35">
      <c r="B256" s="775" t="s">
        <v>936</v>
      </c>
      <c r="C256" s="776">
        <v>0.22</v>
      </c>
      <c r="F256" s="51" t="s">
        <v>937</v>
      </c>
    </row>
    <row r="257" spans="2:7" ht="45.75" customHeight="1" thickBot="1" x14ac:dyDescent="0.4">
      <c r="B257" s="241" t="s">
        <v>938</v>
      </c>
      <c r="C257" s="242">
        <v>0.56999999999999995</v>
      </c>
      <c r="D257" s="126"/>
      <c r="E257" s="123"/>
      <c r="F257" s="238" t="s">
        <v>939</v>
      </c>
    </row>
    <row r="258" spans="2:7" ht="15" thickBot="1" x14ac:dyDescent="0.4">
      <c r="D258" s="126"/>
      <c r="E258" s="123"/>
      <c r="G258" s="243"/>
    </row>
    <row r="259" spans="2:7" x14ac:dyDescent="0.35">
      <c r="B259" s="202" t="s">
        <v>560</v>
      </c>
      <c r="C259" s="203" t="s">
        <v>36</v>
      </c>
      <c r="D259" s="51" t="s">
        <v>828</v>
      </c>
      <c r="E259" s="123"/>
      <c r="F259" s="146" t="s">
        <v>940</v>
      </c>
      <c r="G259" s="243"/>
    </row>
    <row r="260" spans="2:7" x14ac:dyDescent="0.35">
      <c r="B260" s="121" t="s">
        <v>941</v>
      </c>
      <c r="C260" s="112">
        <v>3.2</v>
      </c>
      <c r="D260" s="110">
        <v>1</v>
      </c>
      <c r="E260" s="123"/>
      <c r="F260" s="51" t="s">
        <v>942</v>
      </c>
      <c r="G260" s="243"/>
    </row>
    <row r="261" spans="2:7" x14ac:dyDescent="0.35">
      <c r="B261" s="121" t="s">
        <v>943</v>
      </c>
      <c r="C261" s="112">
        <v>0.86</v>
      </c>
      <c r="D261" s="110">
        <v>1</v>
      </c>
      <c r="E261" s="123"/>
      <c r="F261" s="238" t="s">
        <v>944</v>
      </c>
      <c r="G261" s="243"/>
    </row>
    <row r="262" spans="2:7" ht="15" thickBot="1" x14ac:dyDescent="0.4">
      <c r="B262" s="124" t="s">
        <v>945</v>
      </c>
      <c r="C262" s="114">
        <v>31</v>
      </c>
      <c r="D262" s="110">
        <v>2</v>
      </c>
      <c r="E262" s="123"/>
      <c r="G262" s="243"/>
    </row>
    <row r="263" spans="2:7" x14ac:dyDescent="0.35">
      <c r="D263" s="126"/>
      <c r="E263" s="123"/>
      <c r="G263" s="243"/>
    </row>
    <row r="264" spans="2:7" x14ac:dyDescent="0.35">
      <c r="D264" s="126"/>
      <c r="E264" s="123"/>
      <c r="G264" s="243"/>
    </row>
    <row r="265" spans="2:7" ht="14.9" customHeight="1" x14ac:dyDescent="0.35">
      <c r="B265" s="843" t="s">
        <v>946</v>
      </c>
      <c r="C265" s="843"/>
      <c r="G265" s="243"/>
    </row>
    <row r="266" spans="2:7" x14ac:dyDescent="0.35">
      <c r="B266" s="843"/>
      <c r="C266" s="843"/>
      <c r="G266" s="243"/>
    </row>
    <row r="267" spans="2:7" x14ac:dyDescent="0.35">
      <c r="B267" s="843"/>
      <c r="C267" s="843"/>
    </row>
    <row r="268" spans="2:7" x14ac:dyDescent="0.35">
      <c r="B268" s="843"/>
      <c r="C268" s="843"/>
    </row>
    <row r="269" spans="2:7" x14ac:dyDescent="0.35">
      <c r="B269" s="843"/>
      <c r="C269" s="843"/>
      <c r="D269" s="126"/>
      <c r="E269" s="123"/>
    </row>
    <row r="270" spans="2:7" x14ac:dyDescent="0.35">
      <c r="B270" s="843"/>
      <c r="C270" s="843"/>
      <c r="D270" s="126"/>
      <c r="E270" s="123"/>
    </row>
    <row r="271" spans="2:7" x14ac:dyDescent="0.35">
      <c r="B271" s="843"/>
      <c r="C271" s="843"/>
      <c r="D271" s="126"/>
      <c r="E271" s="123"/>
    </row>
    <row r="272" spans="2:7" x14ac:dyDescent="0.35">
      <c r="B272" s="843"/>
      <c r="C272" s="843"/>
      <c r="D272" s="126"/>
      <c r="E272" s="123"/>
    </row>
    <row r="273" spans="1:10" x14ac:dyDescent="0.35">
      <c r="B273" s="843"/>
      <c r="C273" s="843"/>
      <c r="D273" s="126"/>
      <c r="E273" s="123"/>
    </row>
    <row r="274" spans="1:10" x14ac:dyDescent="0.35">
      <c r="B274" s="843"/>
      <c r="C274" s="843"/>
      <c r="D274" s="126"/>
      <c r="E274" s="123"/>
    </row>
    <row r="275" spans="1:10" x14ac:dyDescent="0.35">
      <c r="D275" s="126"/>
      <c r="E275" s="123"/>
    </row>
    <row r="276" spans="1:10" ht="14.9" customHeight="1" x14ac:dyDescent="0.35">
      <c r="B276" s="843" t="s">
        <v>947</v>
      </c>
      <c r="C276" s="843"/>
      <c r="D276" s="126"/>
      <c r="E276" s="123"/>
    </row>
    <row r="277" spans="1:10" x14ac:dyDescent="0.35">
      <c r="B277" s="843"/>
      <c r="C277" s="843"/>
    </row>
    <row r="278" spans="1:10" x14ac:dyDescent="0.35">
      <c r="B278" s="843"/>
      <c r="C278" s="843"/>
      <c r="D278" s="126"/>
      <c r="E278" s="123"/>
    </row>
    <row r="280" spans="1:10" s="77" customFormat="1" ht="15" thickBot="1" x14ac:dyDescent="0.4">
      <c r="A280" s="198"/>
      <c r="E280" s="98"/>
    </row>
    <row r="281" spans="1:10" s="99" customFormat="1" x14ac:dyDescent="0.35">
      <c r="E281" s="100"/>
    </row>
    <row r="282" spans="1:10" x14ac:dyDescent="0.35">
      <c r="A282" s="101" t="s">
        <v>948</v>
      </c>
    </row>
    <row r="283" spans="1:10" x14ac:dyDescent="0.35">
      <c r="A283" s="102" t="s">
        <v>949</v>
      </c>
    </row>
    <row r="284" spans="1:10" ht="15" thickBot="1" x14ac:dyDescent="0.4"/>
    <row r="285" spans="1:10" ht="45.5" x14ac:dyDescent="0.35">
      <c r="B285" s="230" t="s">
        <v>950</v>
      </c>
      <c r="C285" s="231" t="s">
        <v>951</v>
      </c>
      <c r="F285" t="s">
        <v>952</v>
      </c>
      <c r="I285" s="244"/>
      <c r="J285" s="244"/>
    </row>
    <row r="286" spans="1:10" x14ac:dyDescent="0.35">
      <c r="B286" s="245" t="s">
        <v>953</v>
      </c>
      <c r="C286" s="246">
        <v>1.76</v>
      </c>
      <c r="F286" s="52"/>
      <c r="I286" s="244"/>
      <c r="J286" s="244"/>
    </row>
    <row r="287" spans="1:10" ht="32.15" customHeight="1" x14ac:dyDescent="0.35">
      <c r="B287" s="775" t="s">
        <v>954</v>
      </c>
      <c r="C287" s="776">
        <v>2.21</v>
      </c>
      <c r="F287" t="s">
        <v>955</v>
      </c>
      <c r="I287" s="244"/>
      <c r="J287" s="244"/>
    </row>
    <row r="288" spans="1:10" x14ac:dyDescent="0.35">
      <c r="B288" s="775" t="s">
        <v>956</v>
      </c>
      <c r="C288" s="776">
        <v>2.09</v>
      </c>
      <c r="F288" s="204" t="s">
        <v>957</v>
      </c>
      <c r="I288" s="244"/>
      <c r="J288" s="244"/>
    </row>
    <row r="289" spans="2:10" x14ac:dyDescent="0.35">
      <c r="B289" s="775" t="s">
        <v>958</v>
      </c>
      <c r="C289" s="776">
        <v>0.33</v>
      </c>
      <c r="F289" s="52"/>
      <c r="I289" s="244"/>
      <c r="J289" s="244"/>
    </row>
    <row r="290" spans="2:10" ht="15" thickBot="1" x14ac:dyDescent="0.4">
      <c r="B290" s="241" t="s">
        <v>959</v>
      </c>
      <c r="C290" s="242">
        <v>2.09</v>
      </c>
      <c r="F290" s="52" t="s">
        <v>960</v>
      </c>
      <c r="I290" s="244"/>
      <c r="J290" s="244"/>
    </row>
    <row r="291" spans="2:10" ht="15" thickBot="1" x14ac:dyDescent="0.4">
      <c r="F291" s="147" t="s">
        <v>961</v>
      </c>
      <c r="H291" s="201" t="s">
        <v>962</v>
      </c>
      <c r="I291" s="244"/>
      <c r="J291" s="244"/>
    </row>
    <row r="292" spans="2:10" x14ac:dyDescent="0.35">
      <c r="B292" s="202" t="s">
        <v>560</v>
      </c>
      <c r="C292" s="203" t="s">
        <v>36</v>
      </c>
      <c r="D292" s="51" t="s">
        <v>828</v>
      </c>
      <c r="F292" s="147" t="s">
        <v>963</v>
      </c>
      <c r="H292" s="201" t="s">
        <v>964</v>
      </c>
      <c r="I292" s="244"/>
      <c r="J292" s="244"/>
    </row>
    <row r="293" spans="2:10" x14ac:dyDescent="0.35">
      <c r="B293" s="121" t="s">
        <v>965</v>
      </c>
      <c r="C293" s="112">
        <v>9.8000000000000007</v>
      </c>
      <c r="D293" s="110">
        <v>1</v>
      </c>
      <c r="F293" s="147" t="s">
        <v>966</v>
      </c>
      <c r="H293" s="201" t="s">
        <v>967</v>
      </c>
      <c r="I293" s="244"/>
      <c r="J293" s="244"/>
    </row>
    <row r="294" spans="2:10" x14ac:dyDescent="0.35">
      <c r="B294" s="121" t="s">
        <v>968</v>
      </c>
      <c r="C294" s="112">
        <v>12.1</v>
      </c>
      <c r="D294" s="110">
        <v>1</v>
      </c>
      <c r="F294" s="147" t="s">
        <v>969</v>
      </c>
      <c r="H294" s="201" t="s">
        <v>970</v>
      </c>
      <c r="I294" s="244"/>
      <c r="J294" s="244"/>
    </row>
    <row r="295" spans="2:10" ht="15" thickBot="1" x14ac:dyDescent="0.4">
      <c r="B295" s="124" t="s">
        <v>971</v>
      </c>
      <c r="C295" s="114">
        <v>2.38</v>
      </c>
      <c r="D295" s="110">
        <v>1</v>
      </c>
      <c r="I295" s="244"/>
      <c r="J295" s="244"/>
    </row>
    <row r="296" spans="2:10" x14ac:dyDescent="0.35">
      <c r="F296" s="147"/>
      <c r="H296" s="201"/>
      <c r="I296" s="244"/>
      <c r="J296" s="244"/>
    </row>
    <row r="297" spans="2:10" ht="15.65" customHeight="1" x14ac:dyDescent="0.35">
      <c r="B297" s="843" t="s">
        <v>972</v>
      </c>
      <c r="C297" s="843"/>
      <c r="I297" s="244"/>
      <c r="J297" s="244"/>
    </row>
    <row r="298" spans="2:10" x14ac:dyDescent="0.35">
      <c r="B298" s="843"/>
      <c r="C298" s="843"/>
      <c r="I298" s="244"/>
      <c r="J298" s="244"/>
    </row>
    <row r="299" spans="2:10" x14ac:dyDescent="0.35">
      <c r="B299" s="843"/>
      <c r="C299" s="843"/>
      <c r="I299" s="244"/>
      <c r="J299" s="244"/>
    </row>
    <row r="300" spans="2:10" x14ac:dyDescent="0.35">
      <c r="B300" s="843"/>
      <c r="C300" s="843"/>
    </row>
    <row r="301" spans="2:10" x14ac:dyDescent="0.35">
      <c r="B301" s="843"/>
      <c r="C301" s="843"/>
    </row>
    <row r="302" spans="2:10" x14ac:dyDescent="0.35">
      <c r="B302" s="843"/>
      <c r="C302" s="843"/>
    </row>
    <row r="303" spans="2:10" x14ac:dyDescent="0.35">
      <c r="B303" s="843"/>
      <c r="C303" s="843"/>
    </row>
    <row r="304" spans="2:10" x14ac:dyDescent="0.35">
      <c r="B304" s="843"/>
      <c r="C304" s="843"/>
    </row>
    <row r="305" spans="1:5" x14ac:dyDescent="0.35">
      <c r="B305" s="843"/>
      <c r="C305" s="843"/>
    </row>
    <row r="306" spans="1:5" x14ac:dyDescent="0.35">
      <c r="B306" s="843"/>
      <c r="C306" s="843"/>
    </row>
    <row r="307" spans="1:5" x14ac:dyDescent="0.35">
      <c r="B307" s="843"/>
      <c r="C307" s="843"/>
    </row>
    <row r="308" spans="1:5" x14ac:dyDescent="0.35">
      <c r="B308" s="843"/>
      <c r="C308" s="843"/>
    </row>
    <row r="309" spans="1:5" x14ac:dyDescent="0.35">
      <c r="B309" s="843"/>
      <c r="C309" s="843"/>
    </row>
    <row r="310" spans="1:5" x14ac:dyDescent="0.35">
      <c r="B310" s="843"/>
      <c r="C310" s="843"/>
    </row>
    <row r="312" spans="1:5" ht="14.9" customHeight="1" x14ac:dyDescent="0.35">
      <c r="B312" s="843" t="s">
        <v>973</v>
      </c>
      <c r="C312" s="843"/>
    </row>
    <row r="313" spans="1:5" x14ac:dyDescent="0.35">
      <c r="B313" s="843"/>
      <c r="C313" s="843"/>
    </row>
    <row r="314" spans="1:5" x14ac:dyDescent="0.35">
      <c r="B314" s="843"/>
      <c r="C314" s="843"/>
    </row>
    <row r="315" spans="1:5" x14ac:dyDescent="0.35">
      <c r="B315" s="843"/>
      <c r="C315" s="843"/>
    </row>
    <row r="316" spans="1:5" x14ac:dyDescent="0.35">
      <c r="B316" s="843"/>
      <c r="C316" s="843"/>
    </row>
    <row r="318" spans="1:5" s="77" customFormat="1" ht="15" thickBot="1" x14ac:dyDescent="0.4">
      <c r="A318" s="198"/>
      <c r="E318" s="98"/>
    </row>
    <row r="319" spans="1:5" s="99" customFormat="1" x14ac:dyDescent="0.35">
      <c r="E319" s="100"/>
    </row>
    <row r="320" spans="1:5" x14ac:dyDescent="0.35">
      <c r="A320" s="101" t="s">
        <v>974</v>
      </c>
    </row>
    <row r="321" spans="1:7" x14ac:dyDescent="0.35">
      <c r="A321" s="102" t="s">
        <v>975</v>
      </c>
    </row>
    <row r="322" spans="1:7" ht="15" thickBot="1" x14ac:dyDescent="0.4"/>
    <row r="323" spans="1:7" ht="15" customHeight="1" x14ac:dyDescent="0.35">
      <c r="B323" s="852" t="s">
        <v>976</v>
      </c>
      <c r="C323" s="854" t="s">
        <v>977</v>
      </c>
      <c r="D323" s="855"/>
      <c r="E323" s="856"/>
      <c r="G323" s="51" t="s">
        <v>978</v>
      </c>
    </row>
    <row r="324" spans="1:7" ht="29" x14ac:dyDescent="0.35">
      <c r="B324" s="853"/>
      <c r="C324" s="247" t="s">
        <v>979</v>
      </c>
      <c r="D324" s="247" t="s">
        <v>980</v>
      </c>
      <c r="E324" s="248" t="s">
        <v>981</v>
      </c>
      <c r="G324" s="201" t="s">
        <v>982</v>
      </c>
    </row>
    <row r="325" spans="1:7" x14ac:dyDescent="0.35">
      <c r="B325" s="245" t="s">
        <v>983</v>
      </c>
      <c r="C325" s="249">
        <v>0.04</v>
      </c>
      <c r="D325" s="249">
        <v>0.04</v>
      </c>
      <c r="E325" s="246">
        <v>7.0000000000000007E-2</v>
      </c>
    </row>
    <row r="326" spans="1:7" x14ac:dyDescent="0.35">
      <c r="B326" s="775" t="s">
        <v>984</v>
      </c>
      <c r="C326" s="777">
        <v>0.36</v>
      </c>
      <c r="D326" s="777">
        <v>0.17</v>
      </c>
      <c r="E326" s="776">
        <v>1</v>
      </c>
      <c r="G326" t="s">
        <v>985</v>
      </c>
    </row>
    <row r="327" spans="1:7" x14ac:dyDescent="0.35">
      <c r="B327" s="775" t="s">
        <v>986</v>
      </c>
      <c r="C327" s="777">
        <v>0.27</v>
      </c>
      <c r="D327" s="777">
        <v>0.27</v>
      </c>
      <c r="E327" s="776">
        <v>0.13</v>
      </c>
    </row>
    <row r="328" spans="1:7" x14ac:dyDescent="0.35">
      <c r="B328" s="775" t="s">
        <v>987</v>
      </c>
      <c r="C328" s="777">
        <v>0.36</v>
      </c>
      <c r="D328" s="777">
        <v>0.06</v>
      </c>
      <c r="E328" s="776">
        <v>0.12</v>
      </c>
    </row>
    <row r="329" spans="1:7" ht="16.5" x14ac:dyDescent="0.35">
      <c r="B329" s="775" t="s">
        <v>988</v>
      </c>
      <c r="C329" s="777">
        <v>0.22</v>
      </c>
      <c r="D329" s="777">
        <v>0.16</v>
      </c>
      <c r="E329" s="776">
        <v>0.15</v>
      </c>
    </row>
    <row r="330" spans="1:7" ht="16.5" x14ac:dyDescent="0.35">
      <c r="B330" s="775" t="s">
        <v>989</v>
      </c>
      <c r="C330" s="777">
        <v>0.28999999999999998</v>
      </c>
      <c r="D330" s="777">
        <v>0.19</v>
      </c>
      <c r="E330" s="776">
        <v>0.15</v>
      </c>
    </row>
    <row r="331" spans="1:7" x14ac:dyDescent="0.35">
      <c r="B331" s="775" t="s">
        <v>990</v>
      </c>
      <c r="C331" s="777">
        <v>0.17</v>
      </c>
      <c r="D331" s="777">
        <v>0.17</v>
      </c>
      <c r="E331" s="776">
        <v>0.12</v>
      </c>
    </row>
    <row r="332" spans="1:7" x14ac:dyDescent="0.35">
      <c r="B332" s="775" t="s">
        <v>991</v>
      </c>
      <c r="C332" s="777">
        <v>0.13</v>
      </c>
      <c r="D332" s="777">
        <v>0.13</v>
      </c>
      <c r="E332" s="776">
        <v>7.0000000000000007E-2</v>
      </c>
    </row>
    <row r="333" spans="1:7" x14ac:dyDescent="0.35">
      <c r="B333" s="775" t="s">
        <v>992</v>
      </c>
      <c r="C333" s="777">
        <v>0.09</v>
      </c>
      <c r="D333" s="777">
        <v>0.03</v>
      </c>
      <c r="E333" s="776">
        <v>0.21</v>
      </c>
    </row>
    <row r="334" spans="1:7" x14ac:dyDescent="0.35">
      <c r="B334" s="775" t="s">
        <v>993</v>
      </c>
      <c r="C334" s="777">
        <v>0.37</v>
      </c>
      <c r="D334" s="777">
        <v>0.37</v>
      </c>
      <c r="E334" s="776">
        <v>0.23</v>
      </c>
    </row>
    <row r="335" spans="1:7" x14ac:dyDescent="0.35">
      <c r="B335" s="775" t="s">
        <v>994</v>
      </c>
      <c r="C335" s="777">
        <v>0.48</v>
      </c>
      <c r="D335" s="777">
        <v>0.09</v>
      </c>
      <c r="E335" s="776">
        <v>0.08</v>
      </c>
    </row>
    <row r="336" spans="1:7" x14ac:dyDescent="0.35">
      <c r="B336" s="775" t="s">
        <v>995</v>
      </c>
      <c r="C336" s="777">
        <v>0.36</v>
      </c>
      <c r="D336" s="777">
        <v>0.36</v>
      </c>
      <c r="E336" s="776">
        <v>0.37</v>
      </c>
    </row>
    <row r="337" spans="2:5" ht="16.5" x14ac:dyDescent="0.35">
      <c r="B337" s="775" t="s">
        <v>996</v>
      </c>
      <c r="C337" s="777">
        <v>0.72</v>
      </c>
      <c r="D337" s="777">
        <v>0.72</v>
      </c>
      <c r="E337" s="776">
        <v>0.72</v>
      </c>
    </row>
    <row r="338" spans="2:5" x14ac:dyDescent="0.35">
      <c r="B338" s="775" t="s">
        <v>997</v>
      </c>
      <c r="C338" s="777">
        <v>0.12</v>
      </c>
      <c r="D338" s="777">
        <v>0.12</v>
      </c>
      <c r="E338" s="776">
        <v>0.08</v>
      </c>
    </row>
    <row r="339" spans="2:5" x14ac:dyDescent="0.35">
      <c r="B339" s="775" t="s">
        <v>998</v>
      </c>
      <c r="C339" s="777">
        <v>0.27</v>
      </c>
      <c r="D339" s="778">
        <v>0.11</v>
      </c>
      <c r="E339" s="776">
        <v>0.55000000000000004</v>
      </c>
    </row>
    <row r="340" spans="2:5" x14ac:dyDescent="0.35">
      <c r="B340" s="775" t="s">
        <v>999</v>
      </c>
      <c r="C340" s="777" t="s">
        <v>899</v>
      </c>
      <c r="D340" s="777" t="s">
        <v>899</v>
      </c>
      <c r="E340" s="776">
        <v>0.11</v>
      </c>
    </row>
    <row r="341" spans="2:5" x14ac:dyDescent="0.35">
      <c r="B341" s="775" t="s">
        <v>1000</v>
      </c>
      <c r="C341" s="777" t="s">
        <v>899</v>
      </c>
      <c r="D341" s="777" t="s">
        <v>899</v>
      </c>
      <c r="E341" s="776">
        <v>0.13</v>
      </c>
    </row>
    <row r="342" spans="2:5" x14ac:dyDescent="0.35">
      <c r="B342" s="775" t="s">
        <v>1001</v>
      </c>
      <c r="C342" s="777" t="s">
        <v>899</v>
      </c>
      <c r="D342" s="777" t="s">
        <v>899</v>
      </c>
      <c r="E342" s="776">
        <v>0.08</v>
      </c>
    </row>
    <row r="343" spans="2:5" x14ac:dyDescent="0.35">
      <c r="B343" s="775" t="s">
        <v>1002</v>
      </c>
      <c r="C343" s="777" t="s">
        <v>899</v>
      </c>
      <c r="D343" s="777" t="s">
        <v>899</v>
      </c>
      <c r="E343" s="776">
        <v>0.04</v>
      </c>
    </row>
    <row r="344" spans="2:5" x14ac:dyDescent="0.35">
      <c r="B344" s="775" t="s">
        <v>1003</v>
      </c>
      <c r="C344" s="777" t="s">
        <v>899</v>
      </c>
      <c r="D344" s="777" t="s">
        <v>899</v>
      </c>
      <c r="E344" s="776">
        <v>0.11</v>
      </c>
    </row>
    <row r="345" spans="2:5" x14ac:dyDescent="0.35">
      <c r="B345" s="775" t="s">
        <v>1004</v>
      </c>
      <c r="C345" s="777" t="s">
        <v>899</v>
      </c>
      <c r="D345" s="777" t="s">
        <v>899</v>
      </c>
      <c r="E345" s="776">
        <v>0.06</v>
      </c>
    </row>
    <row r="346" spans="2:5" ht="17" thickBot="1" x14ac:dyDescent="0.4">
      <c r="B346" s="241" t="s">
        <v>1005</v>
      </c>
      <c r="C346" s="250" t="s">
        <v>899</v>
      </c>
      <c r="D346" s="250" t="s">
        <v>899</v>
      </c>
      <c r="E346" s="242">
        <v>0.23</v>
      </c>
    </row>
    <row r="348" spans="2:5" ht="14.9" customHeight="1" x14ac:dyDescent="0.35">
      <c r="B348" s="843" t="s">
        <v>1006</v>
      </c>
      <c r="C348" s="843"/>
      <c r="D348" s="843"/>
      <c r="E348" s="843"/>
    </row>
    <row r="349" spans="2:5" x14ac:dyDescent="0.35">
      <c r="B349" s="843"/>
      <c r="C349" s="843"/>
      <c r="D349" s="843"/>
      <c r="E349" s="843"/>
    </row>
    <row r="350" spans="2:5" x14ac:dyDescent="0.35">
      <c r="B350" s="843"/>
      <c r="C350" s="843"/>
      <c r="D350" s="843"/>
      <c r="E350" s="843"/>
    </row>
    <row r="351" spans="2:5" x14ac:dyDescent="0.35">
      <c r="B351" s="843"/>
      <c r="C351" s="843"/>
      <c r="D351" s="843"/>
      <c r="E351" s="843"/>
    </row>
    <row r="353" spans="1:7" s="77" customFormat="1" ht="15" thickBot="1" x14ac:dyDescent="0.4">
      <c r="A353" s="198"/>
      <c r="E353" s="98"/>
    </row>
    <row r="354" spans="1:7" s="99" customFormat="1" x14ac:dyDescent="0.35">
      <c r="E354" s="100"/>
    </row>
    <row r="355" spans="1:7" x14ac:dyDescent="0.35">
      <c r="A355" s="101" t="s">
        <v>1007</v>
      </c>
    </row>
    <row r="356" spans="1:7" x14ac:dyDescent="0.35">
      <c r="A356" s="102" t="s">
        <v>1008</v>
      </c>
    </row>
    <row r="357" spans="1:7" ht="15" thickBot="1" x14ac:dyDescent="0.4"/>
    <row r="358" spans="1:7" ht="15" customHeight="1" x14ac:dyDescent="0.35">
      <c r="B358" s="852" t="s">
        <v>976</v>
      </c>
      <c r="C358" s="854" t="s">
        <v>977</v>
      </c>
      <c r="D358" s="855"/>
      <c r="E358" s="856"/>
      <c r="G358" s="51" t="s">
        <v>978</v>
      </c>
    </row>
    <row r="359" spans="1:7" x14ac:dyDescent="0.35">
      <c r="B359" s="853"/>
      <c r="C359" s="247" t="s">
        <v>1009</v>
      </c>
      <c r="D359" s="247" t="s">
        <v>1010</v>
      </c>
      <c r="E359" s="248" t="s">
        <v>129</v>
      </c>
      <c r="G359" s="201" t="s">
        <v>982</v>
      </c>
    </row>
    <row r="360" spans="1:7" x14ac:dyDescent="0.35">
      <c r="B360" s="775" t="s">
        <v>984</v>
      </c>
      <c r="C360" s="777">
        <v>0.25</v>
      </c>
      <c r="D360" s="777">
        <v>0.25</v>
      </c>
      <c r="E360" s="776">
        <v>0.25</v>
      </c>
    </row>
    <row r="361" spans="1:7" x14ac:dyDescent="0.35">
      <c r="B361" s="775" t="s">
        <v>1011</v>
      </c>
      <c r="C361" s="777">
        <v>0.15</v>
      </c>
      <c r="D361" s="777">
        <v>0.15</v>
      </c>
      <c r="E361" s="776">
        <v>0.36</v>
      </c>
    </row>
    <row r="362" spans="1:7" x14ac:dyDescent="0.35">
      <c r="B362" s="775" t="s">
        <v>1012</v>
      </c>
      <c r="C362" s="777">
        <v>0.1</v>
      </c>
      <c r="D362" s="777">
        <v>0.1</v>
      </c>
      <c r="E362" s="776">
        <v>0.1</v>
      </c>
    </row>
    <row r="363" spans="1:7" x14ac:dyDescent="0.35">
      <c r="B363" s="775" t="s">
        <v>987</v>
      </c>
      <c r="C363" s="777">
        <v>0.44</v>
      </c>
      <c r="D363" s="777">
        <v>0.44</v>
      </c>
      <c r="E363" s="776">
        <v>0.45</v>
      </c>
    </row>
    <row r="364" spans="1:7" x14ac:dyDescent="0.35">
      <c r="B364" s="775" t="s">
        <v>995</v>
      </c>
      <c r="C364" s="777">
        <v>0.25</v>
      </c>
      <c r="D364" s="777">
        <v>0.25</v>
      </c>
      <c r="E364" s="776">
        <v>0.73</v>
      </c>
    </row>
    <row r="365" spans="1:7" x14ac:dyDescent="0.35">
      <c r="B365" s="775" t="s">
        <v>1013</v>
      </c>
      <c r="C365" s="777">
        <v>0.36</v>
      </c>
      <c r="D365" s="777">
        <v>0.14000000000000001</v>
      </c>
      <c r="E365" s="776">
        <v>0.55000000000000004</v>
      </c>
    </row>
    <row r="366" spans="1:7" x14ac:dyDescent="0.35">
      <c r="B366" s="775" t="s">
        <v>1014</v>
      </c>
      <c r="C366" s="777">
        <v>0.05</v>
      </c>
      <c r="D366" s="777">
        <v>0.05</v>
      </c>
      <c r="E366" s="776">
        <v>0.05</v>
      </c>
    </row>
    <row r="367" spans="1:7" x14ac:dyDescent="0.35">
      <c r="B367" s="775" t="s">
        <v>1015</v>
      </c>
      <c r="C367" s="249" t="s">
        <v>899</v>
      </c>
      <c r="D367" s="249" t="s">
        <v>899</v>
      </c>
      <c r="E367" s="776">
        <v>0.03</v>
      </c>
    </row>
    <row r="368" spans="1:7" ht="15" thickBot="1" x14ac:dyDescent="0.4">
      <c r="B368" s="241" t="s">
        <v>990</v>
      </c>
      <c r="C368" s="251" t="s">
        <v>899</v>
      </c>
      <c r="D368" s="251" t="s">
        <v>899</v>
      </c>
      <c r="E368" s="242">
        <v>0.22</v>
      </c>
    </row>
    <row r="371" spans="1:7" s="77" customFormat="1" ht="15" thickBot="1" x14ac:dyDescent="0.4">
      <c r="A371" s="198"/>
      <c r="E371" s="98"/>
    </row>
    <row r="372" spans="1:7" x14ac:dyDescent="0.35">
      <c r="A372" s="148"/>
    </row>
    <row r="373" spans="1:7" x14ac:dyDescent="0.35">
      <c r="A373" s="252" t="s">
        <v>1016</v>
      </c>
      <c r="B373" s="253"/>
      <c r="C373" s="253"/>
      <c r="D373" s="253"/>
      <c r="E373" s="254"/>
      <c r="F373" s="253"/>
      <c r="G373" s="244"/>
    </row>
    <row r="374" spans="1:7" x14ac:dyDescent="0.35">
      <c r="A374" s="255" t="s">
        <v>1017</v>
      </c>
      <c r="B374" s="253"/>
      <c r="C374" s="253"/>
      <c r="D374" s="253"/>
      <c r="E374" s="254"/>
      <c r="F374" s="253"/>
      <c r="G374" s="244"/>
    </row>
    <row r="375" spans="1:7" ht="19" thickBot="1" x14ac:dyDescent="0.5">
      <c r="A375" s="256"/>
      <c r="B375" s="257"/>
      <c r="C375" s="253"/>
      <c r="D375" s="253"/>
      <c r="E375" s="254"/>
      <c r="F375" s="253"/>
      <c r="G375" s="244"/>
    </row>
    <row r="376" spans="1:7" ht="15.65" customHeight="1" x14ac:dyDescent="0.35">
      <c r="A376" s="256"/>
      <c r="B376" s="857" t="s">
        <v>1018</v>
      </c>
      <c r="C376" s="859" t="s">
        <v>1019</v>
      </c>
      <c r="D376" s="861" t="s">
        <v>1020</v>
      </c>
      <c r="E376" s="253"/>
      <c r="F376" s="259" t="s">
        <v>1021</v>
      </c>
      <c r="G376" s="244"/>
    </row>
    <row r="377" spans="1:7" ht="18.5" x14ac:dyDescent="0.45">
      <c r="A377" s="256"/>
      <c r="B377" s="858"/>
      <c r="C377" s="860"/>
      <c r="D377" s="862"/>
      <c r="E377" s="257"/>
      <c r="F377" s="148" t="s">
        <v>1022</v>
      </c>
      <c r="G377" s="244"/>
    </row>
    <row r="378" spans="1:7" ht="18.5" x14ac:dyDescent="0.45">
      <c r="A378" s="256"/>
      <c r="B378" s="262" t="s">
        <v>1023</v>
      </c>
      <c r="C378" s="263">
        <v>0.36</v>
      </c>
      <c r="D378" s="264">
        <v>0.44</v>
      </c>
      <c r="E378" s="257"/>
      <c r="F378" s="253"/>
      <c r="G378" s="244"/>
    </row>
    <row r="379" spans="1:7" ht="18.5" x14ac:dyDescent="0.45">
      <c r="A379" s="256"/>
      <c r="B379" s="773" t="s">
        <v>1024</v>
      </c>
      <c r="C379" s="777">
        <v>0.73</v>
      </c>
      <c r="D379" s="776">
        <v>0.87</v>
      </c>
      <c r="E379" s="257"/>
      <c r="F379" s="253"/>
      <c r="G379" s="244"/>
    </row>
    <row r="380" spans="1:7" ht="18.5" x14ac:dyDescent="0.45">
      <c r="A380" s="256"/>
      <c r="B380" s="773" t="s">
        <v>1025</v>
      </c>
      <c r="C380" s="777">
        <v>1.82</v>
      </c>
      <c r="D380" s="776">
        <v>1.74</v>
      </c>
      <c r="E380" s="257"/>
      <c r="F380" s="253"/>
      <c r="G380" s="244"/>
    </row>
    <row r="381" spans="1:7" ht="18.5" x14ac:dyDescent="0.45">
      <c r="A381" s="256"/>
      <c r="B381" s="773" t="s">
        <v>1026</v>
      </c>
      <c r="C381" s="777">
        <v>2.1800000000000002</v>
      </c>
      <c r="D381" s="776">
        <v>2.1800000000000002</v>
      </c>
      <c r="E381" s="257"/>
      <c r="F381" s="253"/>
      <c r="G381" s="244"/>
    </row>
    <row r="382" spans="1:7" ht="18.5" x14ac:dyDescent="0.45">
      <c r="A382" s="256"/>
      <c r="B382" s="773" t="s">
        <v>1027</v>
      </c>
      <c r="C382" s="777">
        <v>3.63</v>
      </c>
      <c r="D382" s="776">
        <v>3.92</v>
      </c>
      <c r="E382" s="257"/>
      <c r="F382" s="253"/>
      <c r="G382" s="244"/>
    </row>
    <row r="383" spans="1:7" ht="18.5" x14ac:dyDescent="0.45">
      <c r="A383" s="256"/>
      <c r="B383" s="773" t="s">
        <v>1028</v>
      </c>
      <c r="C383" s="777">
        <v>4</v>
      </c>
      <c r="D383" s="776">
        <v>4.3600000000000003</v>
      </c>
      <c r="E383" s="257"/>
      <c r="F383" s="253"/>
      <c r="G383" s="244"/>
    </row>
    <row r="384" spans="1:7" ht="18.5" x14ac:dyDescent="0.45">
      <c r="A384" s="256"/>
      <c r="B384" s="773" t="s">
        <v>1029</v>
      </c>
      <c r="C384" s="249">
        <v>5.81</v>
      </c>
      <c r="D384" s="246">
        <v>4.3600000000000003</v>
      </c>
      <c r="E384" s="257"/>
      <c r="F384" s="253"/>
      <c r="G384" s="244"/>
    </row>
    <row r="385" spans="1:7" ht="19" thickBot="1" x14ac:dyDescent="0.5">
      <c r="A385" s="256"/>
      <c r="B385" s="265" t="s">
        <v>1030</v>
      </c>
      <c r="C385" s="250">
        <v>4</v>
      </c>
      <c r="D385" s="242">
        <v>4.3600000000000003</v>
      </c>
      <c r="E385" s="257"/>
      <c r="F385" s="253"/>
      <c r="G385" s="244"/>
    </row>
    <row r="386" spans="1:7" ht="18.5" x14ac:dyDescent="0.45">
      <c r="A386" s="256"/>
      <c r="B386" s="266"/>
      <c r="C386" s="267"/>
      <c r="D386" s="267"/>
      <c r="E386" s="257"/>
      <c r="F386" s="253"/>
      <c r="G386" s="244"/>
    </row>
    <row r="387" spans="1:7" ht="18" customHeight="1" x14ac:dyDescent="0.45">
      <c r="A387" s="256"/>
      <c r="B387" s="850" t="s">
        <v>1031</v>
      </c>
      <c r="C387" s="850"/>
      <c r="D387" s="850"/>
      <c r="E387" s="257"/>
      <c r="F387" s="253"/>
      <c r="G387" s="244"/>
    </row>
    <row r="388" spans="1:7" ht="18.5" x14ac:dyDescent="0.45">
      <c r="A388" s="256"/>
      <c r="B388" s="850"/>
      <c r="C388" s="850"/>
      <c r="D388" s="850"/>
      <c r="E388" s="257"/>
      <c r="F388" s="253"/>
      <c r="G388" s="244"/>
    </row>
    <row r="389" spans="1:7" ht="18.5" x14ac:dyDescent="0.45">
      <c r="A389" s="256"/>
      <c r="B389" s="850"/>
      <c r="C389" s="850"/>
      <c r="D389" s="850"/>
      <c r="E389" s="257"/>
      <c r="F389" s="253"/>
      <c r="G389" s="244"/>
    </row>
    <row r="390" spans="1:7" ht="18.5" x14ac:dyDescent="0.45">
      <c r="A390" s="256"/>
      <c r="B390" s="268"/>
      <c r="C390" s="268"/>
      <c r="D390" s="268"/>
      <c r="E390" s="257"/>
      <c r="F390" s="253"/>
      <c r="G390" s="244"/>
    </row>
    <row r="391" spans="1:7" ht="18" customHeight="1" x14ac:dyDescent="0.45">
      <c r="A391" s="256"/>
      <c r="B391" s="850" t="s">
        <v>1032</v>
      </c>
      <c r="C391" s="850"/>
      <c r="D391" s="850"/>
      <c r="E391" s="257"/>
      <c r="F391" s="253"/>
      <c r="G391" s="244"/>
    </row>
    <row r="392" spans="1:7" ht="18.5" x14ac:dyDescent="0.45">
      <c r="A392" s="256"/>
      <c r="B392" s="850"/>
      <c r="C392" s="850"/>
      <c r="D392" s="850"/>
      <c r="E392" s="257"/>
      <c r="F392" s="253"/>
      <c r="G392" s="244"/>
    </row>
    <row r="393" spans="1:7" ht="18.5" x14ac:dyDescent="0.45">
      <c r="A393" s="256"/>
      <c r="B393" s="850"/>
      <c r="C393" s="850"/>
      <c r="D393" s="850"/>
      <c r="E393" s="257"/>
      <c r="F393" s="253"/>
      <c r="G393" s="244"/>
    </row>
    <row r="394" spans="1:7" ht="18.5" x14ac:dyDescent="0.45">
      <c r="A394" s="256"/>
      <c r="B394" s="850"/>
      <c r="C394" s="850"/>
      <c r="D394" s="850"/>
      <c r="E394" s="257"/>
      <c r="F394" s="253"/>
      <c r="G394" s="244"/>
    </row>
    <row r="395" spans="1:7" ht="18.5" x14ac:dyDescent="0.45">
      <c r="A395" s="256"/>
      <c r="B395" s="850"/>
      <c r="C395" s="850"/>
      <c r="D395" s="850"/>
      <c r="E395" s="257"/>
      <c r="F395" s="253"/>
      <c r="G395" s="244"/>
    </row>
    <row r="396" spans="1:7" ht="18.5" x14ac:dyDescent="0.45">
      <c r="A396" s="256"/>
      <c r="B396" s="850"/>
      <c r="C396" s="850"/>
      <c r="D396" s="850"/>
      <c r="E396" s="257"/>
      <c r="F396" s="253"/>
      <c r="G396" s="244"/>
    </row>
    <row r="397" spans="1:7" ht="18.5" x14ac:dyDescent="0.45">
      <c r="A397" s="256"/>
      <c r="B397" s="266"/>
      <c r="C397" s="266"/>
      <c r="D397" s="266"/>
      <c r="E397" s="257"/>
      <c r="F397" s="253"/>
      <c r="G397" s="244"/>
    </row>
    <row r="398" spans="1:7" ht="18" customHeight="1" x14ac:dyDescent="0.45">
      <c r="A398" s="256"/>
      <c r="B398" s="850" t="s">
        <v>1033</v>
      </c>
      <c r="C398" s="851"/>
      <c r="D398" s="851"/>
      <c r="E398" s="257"/>
      <c r="F398" s="253"/>
      <c r="G398" s="244"/>
    </row>
    <row r="399" spans="1:7" ht="18.5" x14ac:dyDescent="0.45">
      <c r="A399" s="256"/>
      <c r="B399" s="851"/>
      <c r="C399" s="851"/>
      <c r="D399" s="851"/>
      <c r="E399" s="257"/>
      <c r="F399" s="253"/>
      <c r="G399" s="244"/>
    </row>
    <row r="400" spans="1:7" ht="18.5" x14ac:dyDescent="0.45">
      <c r="A400" s="256"/>
      <c r="B400" s="851"/>
      <c r="C400" s="851"/>
      <c r="D400" s="851"/>
      <c r="E400" s="257"/>
      <c r="F400" s="253"/>
      <c r="G400" s="244"/>
    </row>
    <row r="401" spans="1:10" ht="18.5" x14ac:dyDescent="0.45">
      <c r="A401" s="256"/>
      <c r="B401" s="851"/>
      <c r="C401" s="851"/>
      <c r="D401" s="851"/>
      <c r="E401" s="257"/>
      <c r="F401" s="253"/>
      <c r="G401" s="244"/>
    </row>
    <row r="402" spans="1:10" ht="15" thickBot="1" x14ac:dyDescent="0.4">
      <c r="A402" s="148"/>
      <c r="B402" s="244"/>
      <c r="C402" s="244"/>
      <c r="D402" s="244"/>
      <c r="E402" s="269"/>
      <c r="F402" s="244"/>
      <c r="G402" s="244"/>
    </row>
    <row r="403" spans="1:10" s="99" customFormat="1" x14ac:dyDescent="0.35">
      <c r="E403" s="100"/>
    </row>
    <row r="404" spans="1:10" x14ac:dyDescent="0.35">
      <c r="A404" s="101" t="s">
        <v>1034</v>
      </c>
    </row>
    <row r="405" spans="1:10" x14ac:dyDescent="0.35">
      <c r="A405" s="102" t="s">
        <v>1035</v>
      </c>
    </row>
    <row r="406" spans="1:10" ht="15" thickBot="1" x14ac:dyDescent="0.4"/>
    <row r="407" spans="1:10" ht="45.5" x14ac:dyDescent="0.35">
      <c r="B407" s="230" t="s">
        <v>1036</v>
      </c>
      <c r="C407" s="258" t="s">
        <v>1037</v>
      </c>
      <c r="D407" s="231" t="s">
        <v>1038</v>
      </c>
      <c r="E407" s="149"/>
      <c r="F407" t="s">
        <v>1039</v>
      </c>
      <c r="G407" s="243"/>
    </row>
    <row r="408" spans="1:10" ht="16.5" x14ac:dyDescent="0.35">
      <c r="B408" s="779" t="s">
        <v>1040</v>
      </c>
      <c r="C408" s="270" t="s">
        <v>1041</v>
      </c>
      <c r="D408" s="246">
        <v>8.36</v>
      </c>
      <c r="E408" s="150"/>
      <c r="F408" s="51" t="s">
        <v>1042</v>
      </c>
      <c r="J408" s="244"/>
    </row>
    <row r="409" spans="1:10" ht="17" thickBot="1" x14ac:dyDescent="0.4">
      <c r="B409" s="241" t="s">
        <v>1043</v>
      </c>
      <c r="C409" s="271" t="s">
        <v>1044</v>
      </c>
      <c r="D409" s="242">
        <v>7.45</v>
      </c>
      <c r="E409" s="150"/>
      <c r="F409" s="201" t="s">
        <v>1045</v>
      </c>
      <c r="J409" s="244"/>
    </row>
    <row r="410" spans="1:10" ht="15" thickBot="1" x14ac:dyDescent="0.4">
      <c r="B410" s="272"/>
      <c r="C410" s="273"/>
      <c r="D410" s="274"/>
      <c r="E410" s="151"/>
      <c r="F410" s="201"/>
      <c r="J410" s="244"/>
    </row>
    <row r="411" spans="1:10" x14ac:dyDescent="0.35">
      <c r="B411" s="199" t="s">
        <v>560</v>
      </c>
      <c r="C411" s="200" t="s">
        <v>36</v>
      </c>
      <c r="D411" s="51" t="s">
        <v>828</v>
      </c>
      <c r="E411" s="151"/>
      <c r="F411" t="s">
        <v>1046</v>
      </c>
      <c r="J411" s="244"/>
    </row>
    <row r="412" spans="1:10" x14ac:dyDescent="0.35">
      <c r="B412" s="121" t="s">
        <v>941</v>
      </c>
      <c r="C412" s="152">
        <v>3.2</v>
      </c>
      <c r="D412" s="110">
        <v>1</v>
      </c>
      <c r="E412" s="151"/>
      <c r="F412" s="51" t="s">
        <v>1047</v>
      </c>
      <c r="J412" s="244"/>
    </row>
    <row r="413" spans="1:10" x14ac:dyDescent="0.35">
      <c r="B413" s="121" t="s">
        <v>1048</v>
      </c>
      <c r="C413" s="275">
        <f>267.1/100000</f>
        <v>2.6710000000000002E-3</v>
      </c>
      <c r="D413" s="110">
        <v>1</v>
      </c>
      <c r="E413" s="151"/>
      <c r="F413" s="201" t="s">
        <v>1049</v>
      </c>
      <c r="J413" s="244"/>
    </row>
    <row r="414" spans="1:10" x14ac:dyDescent="0.35">
      <c r="B414" s="121" t="s">
        <v>1050</v>
      </c>
      <c r="C414" s="276">
        <v>8.5999999999999993E-2</v>
      </c>
      <c r="D414" s="110">
        <v>1</v>
      </c>
      <c r="E414" s="151"/>
      <c r="J414" s="244"/>
    </row>
    <row r="415" spans="1:10" x14ac:dyDescent="0.35">
      <c r="B415" s="121" t="s">
        <v>1051</v>
      </c>
      <c r="C415" s="152">
        <v>0.86</v>
      </c>
      <c r="D415" s="110">
        <v>1</v>
      </c>
      <c r="E415" s="151"/>
      <c r="F415" t="s">
        <v>1052</v>
      </c>
      <c r="J415" s="244"/>
    </row>
    <row r="416" spans="1:10" x14ac:dyDescent="0.35">
      <c r="B416" s="121" t="s">
        <v>965</v>
      </c>
      <c r="C416" s="152">
        <v>9.8000000000000007</v>
      </c>
      <c r="D416" s="110">
        <v>2</v>
      </c>
      <c r="E416" s="151"/>
      <c r="F416" s="51" t="s">
        <v>1053</v>
      </c>
      <c r="J416" s="244"/>
    </row>
    <row r="417" spans="2:10" x14ac:dyDescent="0.35">
      <c r="B417" s="121" t="s">
        <v>1054</v>
      </c>
      <c r="C417" s="275">
        <f>217.9/100000</f>
        <v>2.1789999999999999E-3</v>
      </c>
      <c r="D417" s="110">
        <v>2</v>
      </c>
      <c r="E417" s="151"/>
      <c r="F417" s="201" t="s">
        <v>1055</v>
      </c>
      <c r="J417" s="244"/>
    </row>
    <row r="418" spans="2:10" x14ac:dyDescent="0.35">
      <c r="B418" s="121" t="s">
        <v>1056</v>
      </c>
      <c r="C418" s="276">
        <v>4.2999999999999997E-2</v>
      </c>
      <c r="D418" s="110">
        <v>2</v>
      </c>
      <c r="E418" s="151"/>
      <c r="J418" s="244"/>
    </row>
    <row r="419" spans="2:10" x14ac:dyDescent="0.35">
      <c r="B419" s="121" t="s">
        <v>1057</v>
      </c>
      <c r="C419" s="152">
        <v>2.38</v>
      </c>
      <c r="D419" s="110">
        <v>2</v>
      </c>
      <c r="E419" s="151"/>
      <c r="F419" t="s">
        <v>1058</v>
      </c>
      <c r="J419" s="244"/>
    </row>
    <row r="420" spans="2:10" x14ac:dyDescent="0.35">
      <c r="B420" s="121" t="s">
        <v>1059</v>
      </c>
      <c r="C420" s="277">
        <v>0.68</v>
      </c>
      <c r="D420" s="110">
        <v>3</v>
      </c>
      <c r="F420" s="51" t="s">
        <v>1060</v>
      </c>
      <c r="J420" s="244"/>
    </row>
    <row r="421" spans="2:10" x14ac:dyDescent="0.35">
      <c r="B421" s="121" t="s">
        <v>1061</v>
      </c>
      <c r="C421" s="277">
        <v>0.59</v>
      </c>
      <c r="D421" s="110">
        <v>3</v>
      </c>
      <c r="F421" s="201" t="s">
        <v>1062</v>
      </c>
      <c r="J421" s="244"/>
    </row>
    <row r="422" spans="2:10" ht="29.5" thickBot="1" x14ac:dyDescent="0.4">
      <c r="B422" s="124" t="s">
        <v>1063</v>
      </c>
      <c r="C422" s="278">
        <v>0.89</v>
      </c>
      <c r="D422" s="110">
        <v>4</v>
      </c>
      <c r="J422" s="244"/>
    </row>
    <row r="423" spans="2:10" x14ac:dyDescent="0.35">
      <c r="F423" t="s">
        <v>1064</v>
      </c>
      <c r="J423" s="244"/>
    </row>
    <row r="424" spans="2:10" x14ac:dyDescent="0.35">
      <c r="J424" s="244"/>
    </row>
    <row r="425" spans="2:10" ht="15" customHeight="1" x14ac:dyDescent="0.35">
      <c r="B425" s="843" t="s">
        <v>1065</v>
      </c>
      <c r="C425" s="843"/>
      <c r="D425" s="843"/>
      <c r="J425" s="244"/>
    </row>
    <row r="426" spans="2:10" ht="15" customHeight="1" x14ac:dyDescent="0.35">
      <c r="B426" s="843"/>
      <c r="C426" s="843"/>
      <c r="D426" s="843"/>
      <c r="J426" s="244"/>
    </row>
    <row r="427" spans="2:10" ht="15" customHeight="1" x14ac:dyDescent="0.35">
      <c r="B427" s="843"/>
      <c r="C427" s="843"/>
      <c r="D427" s="843"/>
      <c r="J427" s="244"/>
    </row>
    <row r="428" spans="2:10" ht="15" customHeight="1" x14ac:dyDescent="0.35">
      <c r="B428" s="843"/>
      <c r="C428" s="843"/>
      <c r="D428" s="843"/>
      <c r="J428" s="244"/>
    </row>
    <row r="429" spans="2:10" x14ac:dyDescent="0.35">
      <c r="J429" s="244"/>
    </row>
    <row r="430" spans="2:10" ht="15.65" customHeight="1" x14ac:dyDescent="0.35">
      <c r="B430" s="843" t="s">
        <v>1066</v>
      </c>
      <c r="C430" s="843"/>
      <c r="D430" s="843"/>
      <c r="J430" s="244"/>
    </row>
    <row r="431" spans="2:10" x14ac:dyDescent="0.35">
      <c r="B431" s="843"/>
      <c r="C431" s="843"/>
      <c r="D431" s="843"/>
      <c r="J431" s="244"/>
    </row>
    <row r="432" spans="2:10" x14ac:dyDescent="0.35">
      <c r="B432" s="843"/>
      <c r="C432" s="843"/>
      <c r="D432" s="843"/>
      <c r="J432" s="244"/>
    </row>
    <row r="433" spans="1:10" x14ac:dyDescent="0.35">
      <c r="B433" s="843"/>
      <c r="C433" s="843"/>
      <c r="D433" s="843"/>
      <c r="J433" s="244"/>
    </row>
    <row r="434" spans="1:10" x14ac:dyDescent="0.35">
      <c r="J434" s="244"/>
    </row>
    <row r="435" spans="1:10" ht="15.65" customHeight="1" x14ac:dyDescent="0.35">
      <c r="B435" s="843" t="s">
        <v>1067</v>
      </c>
      <c r="C435" s="843"/>
      <c r="D435" s="843"/>
      <c r="J435" s="244"/>
    </row>
    <row r="436" spans="1:10" x14ac:dyDescent="0.35">
      <c r="B436" s="843"/>
      <c r="C436" s="843"/>
      <c r="D436" s="843"/>
      <c r="J436" s="244"/>
    </row>
    <row r="437" spans="1:10" x14ac:dyDescent="0.35">
      <c r="B437" s="843"/>
      <c r="C437" s="843"/>
      <c r="D437" s="843"/>
      <c r="J437" s="244"/>
    </row>
    <row r="438" spans="1:10" x14ac:dyDescent="0.35">
      <c r="B438" s="843"/>
      <c r="C438" s="843"/>
      <c r="D438" s="843"/>
      <c r="F438" s="123"/>
    </row>
    <row r="439" spans="1:10" x14ac:dyDescent="0.35">
      <c r="F439" s="123"/>
    </row>
    <row r="440" spans="1:10" ht="14.9" customHeight="1" x14ac:dyDescent="0.35">
      <c r="B440" s="843" t="s">
        <v>1068</v>
      </c>
      <c r="C440" s="843"/>
      <c r="D440" s="843"/>
      <c r="F440" s="123"/>
    </row>
    <row r="441" spans="1:10" x14ac:dyDescent="0.35">
      <c r="B441" s="843"/>
      <c r="C441" s="843"/>
      <c r="D441" s="843"/>
      <c r="F441" s="123"/>
    </row>
    <row r="442" spans="1:10" x14ac:dyDescent="0.35">
      <c r="B442" s="843"/>
      <c r="C442" s="843"/>
      <c r="D442" s="843"/>
      <c r="F442" s="123"/>
    </row>
    <row r="443" spans="1:10" x14ac:dyDescent="0.35">
      <c r="B443" s="843"/>
      <c r="C443" s="843"/>
      <c r="D443" s="843"/>
    </row>
    <row r="444" spans="1:10" x14ac:dyDescent="0.35">
      <c r="B444" s="843"/>
      <c r="C444" s="843"/>
      <c r="D444" s="843"/>
      <c r="E444" s="123"/>
      <c r="F444" s="126"/>
    </row>
    <row r="445" spans="1:10" x14ac:dyDescent="0.35">
      <c r="B445" s="843"/>
      <c r="C445" s="843"/>
      <c r="D445" s="843"/>
      <c r="E445" s="123"/>
      <c r="F445" s="126"/>
    </row>
    <row r="447" spans="1:10" s="77" customFormat="1" ht="15" thickBot="1" x14ac:dyDescent="0.4">
      <c r="A447" s="198"/>
      <c r="E447" s="98"/>
    </row>
    <row r="448" spans="1:10" s="99" customFormat="1" x14ac:dyDescent="0.35">
      <c r="E448" s="100"/>
    </row>
    <row r="449" spans="1:9" x14ac:dyDescent="0.35">
      <c r="A449" s="101" t="s">
        <v>1069</v>
      </c>
    </row>
    <row r="450" spans="1:9" x14ac:dyDescent="0.35">
      <c r="A450" s="255" t="s">
        <v>1070</v>
      </c>
      <c r="B450" s="228"/>
      <c r="C450" s="228"/>
      <c r="D450" s="228"/>
      <c r="E450" s="227"/>
      <c r="F450" s="228"/>
    </row>
    <row r="451" spans="1:9" ht="15" thickBot="1" x14ac:dyDescent="0.4">
      <c r="A451" s="228"/>
      <c r="B451" s="228"/>
      <c r="C451" s="228"/>
      <c r="D451" s="228"/>
      <c r="E451" s="227"/>
      <c r="F451" s="228"/>
    </row>
    <row r="452" spans="1:9" ht="34.4" customHeight="1" x14ac:dyDescent="0.35">
      <c r="A452" s="228"/>
      <c r="B452" s="857" t="s">
        <v>1071</v>
      </c>
      <c r="C452" s="854" t="s">
        <v>1072</v>
      </c>
      <c r="D452" s="855"/>
      <c r="E452" s="855"/>
      <c r="F452" s="856"/>
      <c r="G452" s="279"/>
      <c r="I452" s="259" t="s">
        <v>1073</v>
      </c>
    </row>
    <row r="453" spans="1:9" x14ac:dyDescent="0.35">
      <c r="A453" s="228"/>
      <c r="B453" s="858"/>
      <c r="C453" s="260" t="s">
        <v>1074</v>
      </c>
      <c r="D453" s="260" t="s">
        <v>1075</v>
      </c>
      <c r="E453" s="260" t="s">
        <v>18</v>
      </c>
      <c r="F453" s="261" t="s">
        <v>1076</v>
      </c>
      <c r="G453" s="280"/>
      <c r="I453" s="226" t="s">
        <v>1077</v>
      </c>
    </row>
    <row r="454" spans="1:9" x14ac:dyDescent="0.35">
      <c r="A454" s="228"/>
      <c r="B454" s="281" t="s">
        <v>1078</v>
      </c>
      <c r="C454" s="282">
        <v>0.14699999999999999</v>
      </c>
      <c r="D454" s="283">
        <v>2.0999999999999999E-3</v>
      </c>
      <c r="E454" s="282">
        <v>1.9E-2</v>
      </c>
      <c r="F454" s="284" t="s">
        <v>899</v>
      </c>
      <c r="G454" s="285"/>
      <c r="I454" s="228"/>
    </row>
    <row r="455" spans="1:9" x14ac:dyDescent="0.35">
      <c r="A455" s="228"/>
      <c r="B455" s="281" t="s">
        <v>1079</v>
      </c>
      <c r="C455" s="282">
        <v>3.1E-2</v>
      </c>
      <c r="D455" s="283">
        <v>2.0000000000000001E-4</v>
      </c>
      <c r="E455" s="282">
        <v>0.105</v>
      </c>
      <c r="F455" s="284" t="s">
        <v>899</v>
      </c>
      <c r="G455" s="285"/>
      <c r="I455" s="259" t="s">
        <v>1080</v>
      </c>
    </row>
    <row r="456" spans="1:9" x14ac:dyDescent="0.35">
      <c r="A456" s="228"/>
      <c r="B456" s="281" t="s">
        <v>1081</v>
      </c>
      <c r="C456" s="282">
        <v>0.124</v>
      </c>
      <c r="D456" s="283">
        <v>1.1000000000000001E-3</v>
      </c>
      <c r="E456" s="282">
        <v>4.2999999999999997E-2</v>
      </c>
      <c r="F456" s="284">
        <v>1.2999999999999999E-2</v>
      </c>
      <c r="G456" s="285"/>
      <c r="I456" s="243" t="s">
        <v>1082</v>
      </c>
    </row>
    <row r="457" spans="1:9" x14ac:dyDescent="0.35">
      <c r="A457" s="228"/>
      <c r="B457" s="281" t="s">
        <v>1083</v>
      </c>
      <c r="C457" s="282">
        <v>0.36699999999999999</v>
      </c>
      <c r="D457" s="283">
        <v>4.65E-2</v>
      </c>
      <c r="E457" s="282">
        <v>1.7000000000000001E-2</v>
      </c>
      <c r="F457" s="284" t="s">
        <v>899</v>
      </c>
      <c r="G457" s="285"/>
      <c r="I457" s="228"/>
    </row>
    <row r="458" spans="1:9" x14ac:dyDescent="0.35">
      <c r="A458" s="228"/>
      <c r="B458" s="281" t="s">
        <v>1084</v>
      </c>
      <c r="C458" s="282">
        <v>0.08</v>
      </c>
      <c r="D458" s="283">
        <v>3.8999999999999998E-3</v>
      </c>
      <c r="E458" s="282">
        <v>0.03</v>
      </c>
      <c r="F458" s="284" t="s">
        <v>899</v>
      </c>
      <c r="G458" s="285"/>
      <c r="I458" s="259" t="s">
        <v>1085</v>
      </c>
    </row>
    <row r="459" spans="1:9" x14ac:dyDescent="0.35">
      <c r="A459" s="228"/>
      <c r="B459" s="281" t="s">
        <v>1086</v>
      </c>
      <c r="C459" s="282">
        <v>0.251</v>
      </c>
      <c r="D459" s="283">
        <v>2.3400000000000001E-2</v>
      </c>
      <c r="E459" s="282">
        <v>2.3E-2</v>
      </c>
      <c r="F459" s="284">
        <v>3.7999999999999999E-2</v>
      </c>
      <c r="G459" s="285"/>
      <c r="I459" s="243" t="s">
        <v>1087</v>
      </c>
    </row>
    <row r="460" spans="1:9" x14ac:dyDescent="0.35">
      <c r="A460" s="228"/>
      <c r="B460" s="281" t="s">
        <v>1088</v>
      </c>
      <c r="C460" s="282">
        <v>0.16300000000000001</v>
      </c>
      <c r="D460" s="283">
        <v>5.4000000000000003E-3</v>
      </c>
      <c r="E460" s="282">
        <v>1.9E-2</v>
      </c>
      <c r="F460" s="284" t="s">
        <v>899</v>
      </c>
      <c r="G460" s="285"/>
    </row>
    <row r="461" spans="1:9" x14ac:dyDescent="0.35">
      <c r="A461" s="228"/>
      <c r="B461" s="281" t="s">
        <v>1089</v>
      </c>
      <c r="C461" s="282">
        <v>3.7999999999999999E-2</v>
      </c>
      <c r="D461" s="283">
        <v>6.9999999999999999E-4</v>
      </c>
      <c r="E461" s="282">
        <v>9.4E-2</v>
      </c>
      <c r="F461" s="284" t="s">
        <v>899</v>
      </c>
      <c r="G461" s="285"/>
      <c r="I461" s="51" t="s">
        <v>1090</v>
      </c>
    </row>
    <row r="462" spans="1:9" ht="15" thickBot="1" x14ac:dyDescent="0.4">
      <c r="A462" s="228"/>
      <c r="B462" s="286" t="s">
        <v>1091</v>
      </c>
      <c r="C462" s="287">
        <v>0.13600000000000001</v>
      </c>
      <c r="D462" s="288">
        <v>3.3E-3</v>
      </c>
      <c r="E462" s="287">
        <v>4.1000000000000002E-2</v>
      </c>
      <c r="F462" s="289">
        <v>1.6E-2</v>
      </c>
      <c r="G462" s="285"/>
      <c r="I462" s="290" t="s">
        <v>1092</v>
      </c>
    </row>
    <row r="463" spans="1:9" x14ac:dyDescent="0.35">
      <c r="A463" s="228"/>
      <c r="B463" s="228"/>
      <c r="C463" s="228"/>
      <c r="D463" s="228"/>
      <c r="E463" s="227"/>
      <c r="F463" s="228"/>
    </row>
    <row r="464" spans="1:9" ht="14.9" customHeight="1" x14ac:dyDescent="0.35">
      <c r="A464" s="228"/>
      <c r="B464" s="863" t="s">
        <v>1093</v>
      </c>
      <c r="C464" s="864"/>
      <c r="D464" s="864"/>
      <c r="E464" s="227"/>
      <c r="F464" s="228"/>
    </row>
    <row r="465" spans="1:6" x14ac:dyDescent="0.35">
      <c r="A465" s="228"/>
      <c r="B465" s="864"/>
      <c r="C465" s="864"/>
      <c r="D465" s="864"/>
      <c r="E465" s="227"/>
      <c r="F465" s="228"/>
    </row>
    <row r="466" spans="1:6" x14ac:dyDescent="0.35">
      <c r="A466" s="228"/>
      <c r="B466" s="864"/>
      <c r="C466" s="864"/>
      <c r="D466" s="864"/>
      <c r="E466" s="227"/>
      <c r="F466" s="228"/>
    </row>
    <row r="467" spans="1:6" x14ac:dyDescent="0.35">
      <c r="A467" s="228"/>
      <c r="B467" s="864"/>
      <c r="C467" s="864"/>
      <c r="D467" s="864"/>
      <c r="E467" s="227"/>
      <c r="F467" s="228"/>
    </row>
    <row r="468" spans="1:6" x14ac:dyDescent="0.35">
      <c r="A468" s="228"/>
      <c r="B468" s="272"/>
      <c r="C468" s="272"/>
      <c r="D468" s="272"/>
      <c r="E468" s="227"/>
      <c r="F468" s="228"/>
    </row>
    <row r="469" spans="1:6" ht="65.150000000000006" customHeight="1" x14ac:dyDescent="0.35">
      <c r="A469" s="228"/>
      <c r="B469" s="865" t="s">
        <v>1094</v>
      </c>
      <c r="C469" s="865"/>
      <c r="D469" s="865"/>
      <c r="E469" s="227"/>
      <c r="F469" s="228"/>
    </row>
    <row r="470" spans="1:6" x14ac:dyDescent="0.35">
      <c r="A470" s="228"/>
      <c r="B470" s="272"/>
      <c r="C470" s="272"/>
      <c r="D470" s="272"/>
      <c r="E470" s="227"/>
      <c r="F470" s="228"/>
    </row>
    <row r="471" spans="1:6" s="77" customFormat="1" ht="15" thickBot="1" x14ac:dyDescent="0.4">
      <c r="A471" s="193"/>
      <c r="E471" s="98"/>
    </row>
    <row r="472" spans="1:6" s="99" customFormat="1" x14ac:dyDescent="0.35">
      <c r="E472" s="100"/>
    </row>
  </sheetData>
  <mergeCells count="42">
    <mergeCell ref="F7:S8"/>
    <mergeCell ref="F10:S12"/>
    <mergeCell ref="F14:S15"/>
    <mergeCell ref="F17:S19"/>
    <mergeCell ref="B214:D215"/>
    <mergeCell ref="B87:C90"/>
    <mergeCell ref="B9:C9"/>
    <mergeCell ref="B44:C50"/>
    <mergeCell ref="B57:C57"/>
    <mergeCell ref="B79:C85"/>
    <mergeCell ref="B464:D467"/>
    <mergeCell ref="B469:D469"/>
    <mergeCell ref="B425:D428"/>
    <mergeCell ref="B430:D433"/>
    <mergeCell ref="B435:D438"/>
    <mergeCell ref="B440:D445"/>
    <mergeCell ref="B452:B453"/>
    <mergeCell ref="C452:F452"/>
    <mergeCell ref="B398:D401"/>
    <mergeCell ref="B297:C310"/>
    <mergeCell ref="B312:C316"/>
    <mergeCell ref="B323:B324"/>
    <mergeCell ref="C323:E323"/>
    <mergeCell ref="B348:E351"/>
    <mergeCell ref="B358:B359"/>
    <mergeCell ref="C358:E358"/>
    <mergeCell ref="B376:B377"/>
    <mergeCell ref="C376:C377"/>
    <mergeCell ref="D376:D377"/>
    <mergeCell ref="B387:D389"/>
    <mergeCell ref="B391:D396"/>
    <mergeCell ref="B276:C278"/>
    <mergeCell ref="B92:C96"/>
    <mergeCell ref="B98:C99"/>
    <mergeCell ref="B101:C102"/>
    <mergeCell ref="B115:C116"/>
    <mergeCell ref="B127:C131"/>
    <mergeCell ref="B133:C137"/>
    <mergeCell ref="C143:D143"/>
    <mergeCell ref="B158:C158"/>
    <mergeCell ref="B160:C160"/>
    <mergeCell ref="B265:C274"/>
  </mergeCells>
  <hyperlinks>
    <hyperlink ref="A4" r:id="rId1" xr:uid="{EA6ED67A-2CDA-4068-90C6-7907B26A9F58}"/>
    <hyperlink ref="E58" r:id="rId2" xr:uid="{AE20E6AF-0A12-437A-9BCE-CE64D0008EBD}"/>
    <hyperlink ref="H175" r:id="rId3" xr:uid="{D57BC8E3-56E2-4CB0-A97B-B1A916B7A3E8}"/>
    <hyperlink ref="H167" r:id="rId4" xr:uid="{EA58E534-1EED-45DB-BBF9-D1A9FE02E6F5}"/>
    <hyperlink ref="E226" r:id="rId5" location="eyJhcHBpZCI6MTksInN0ZXBzIjpbMSwyLDNdLCJkYXRhIjpbWyJOSVBBX1RhYmxlX0xpc3QiLCIxMyJdLFsiQ2F0ZWdvcmllcyIsIlN1cnZleSJdXX0=" xr:uid="{675634D9-70F5-41E7-BC84-98C904488A64}"/>
    <hyperlink ref="F252" r:id="rId6" xr:uid="{A0541872-8EDF-4ECA-844E-8F0A8E3A035D}"/>
    <hyperlink ref="F257" r:id="rId7" xr:uid="{48CA097B-F0C2-427A-A9AC-0586B7736D9F}"/>
    <hyperlink ref="F261" r:id="rId8" xr:uid="{F5224A3C-C184-4787-BFB0-C743F73C66B9}"/>
    <hyperlink ref="F288" r:id="rId9" xr:uid="{75FC47A8-6CA4-44CC-A260-1643A0C4FEBD}"/>
    <hyperlink ref="H292" r:id="rId10" xr:uid="{8D11D6FB-77A9-4F33-A83C-7CED61771639}"/>
    <hyperlink ref="H293" r:id="rId11" xr:uid="{AC802C56-841B-4AB6-8321-08BFEEF39B70}"/>
    <hyperlink ref="H294" r:id="rId12" xr:uid="{07F8A4B1-8238-4A6D-8EF6-E337A13C5D68}"/>
    <hyperlink ref="H291" r:id="rId13" xr:uid="{8282F81F-969F-4A73-B60A-36EB6A447EF5}"/>
    <hyperlink ref="G324" r:id="rId14" xr:uid="{33EDCE18-9189-4F5F-A772-D53DF436894F}"/>
    <hyperlink ref="G359" r:id="rId15" xr:uid="{F7CA4DE6-75F2-4311-BDCF-528845521466}"/>
    <hyperlink ref="F377" r:id="rId16" xr:uid="{1DC7261C-5B19-4566-BDE8-1F0C1799B0DD}"/>
    <hyperlink ref="F409" r:id="rId17" xr:uid="{1C76FE9C-0173-4E0A-B809-EF0636A417BD}"/>
    <hyperlink ref="F413" r:id="rId18" xr:uid="{27C92A5A-5186-4DE7-B5CB-E9C607E09FC2}"/>
    <hyperlink ref="F417" r:id="rId19" xr:uid="{329E09C1-96AE-4D2B-BB08-B752B4EFC706}"/>
    <hyperlink ref="F421" r:id="rId20" xr:uid="{91B14762-952E-4AD8-80DA-9632F2DE447A}"/>
    <hyperlink ref="I453" r:id="rId21" xr:uid="{A6B64908-0EBF-434F-9A11-C91163609126}"/>
    <hyperlink ref="I456" r:id="rId22" xr:uid="{95D96A5A-A68A-48D6-8C45-A1333F7965BC}"/>
    <hyperlink ref="I459" r:id="rId23" xr:uid="{1EE9F1A8-15CA-4CD6-8CD0-043A166E2E64}"/>
    <hyperlink ref="I462" r:id="rId24" xr:uid="{DB112944-6259-47C9-A5A8-0406FE75270B}"/>
    <hyperlink ref="E124" r:id="rId25" xr:uid="{309289E2-D26C-40C1-B066-FA6D90641E45}"/>
    <hyperlink ref="E128" r:id="rId26" xr:uid="{E9FC063B-25CD-4F05-81F7-27EA09D5D4F7}"/>
  </hyperlinks>
  <pageMargins left="0.7" right="0.7" top="0.75" bottom="0.75" header="0.3" footer="0.3"/>
  <pageSetup orientation="portrait" horizontalDpi="1200" verticalDpi="1200" r:id="rId2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7430-2A1D-4984-B8F1-72B3F64A47A9}">
  <sheetPr codeName="Sheet5">
    <tabColor theme="5"/>
  </sheetPr>
  <dimension ref="A1:AT85"/>
  <sheetViews>
    <sheetView topLeftCell="A29" workbookViewId="0">
      <selection activeCell="D34" sqref="D34"/>
    </sheetView>
  </sheetViews>
  <sheetFormatPr defaultRowHeight="14.5" x14ac:dyDescent="0.35"/>
  <cols>
    <col min="1" max="1" width="1.54296875" customWidth="1"/>
    <col min="2" max="2" width="45.54296875" customWidth="1"/>
    <col min="3" max="3" width="12.54296875" customWidth="1"/>
    <col min="4" max="4" width="27.54296875" customWidth="1"/>
    <col min="5" max="5" width="10.54296875" bestFit="1" customWidth="1"/>
    <col min="6" max="7" width="10.453125" customWidth="1"/>
    <col min="8" max="36" width="18.453125" customWidth="1"/>
    <col min="37" max="46" width="14.1796875" customWidth="1"/>
  </cols>
  <sheetData>
    <row r="1" spans="1:46" x14ac:dyDescent="0.35">
      <c r="A1" s="1"/>
      <c r="B1" s="2" t="s">
        <v>35</v>
      </c>
      <c r="C1" s="2" t="s">
        <v>36</v>
      </c>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6" x14ac:dyDescent="0.35">
      <c r="A2" s="1"/>
      <c r="B2" s="1" t="s">
        <v>37</v>
      </c>
      <c r="C2" s="1">
        <f>Inputs!D8</f>
        <v>2024</v>
      </c>
      <c r="D2" s="1"/>
      <c r="E2" s="1"/>
      <c r="F2" s="37"/>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row>
    <row r="3" spans="1:46" x14ac:dyDescent="0.35">
      <c r="A3" s="1"/>
      <c r="B3" s="1" t="s">
        <v>38</v>
      </c>
      <c r="C3" s="1">
        <f>Inputs!D11</f>
        <v>2033</v>
      </c>
      <c r="D3" s="1"/>
      <c r="E3" s="1"/>
      <c r="F3" s="1"/>
      <c r="G3" s="1"/>
      <c r="I3" s="3"/>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row>
    <row r="4" spans="1:46" x14ac:dyDescent="0.35">
      <c r="A4" s="1"/>
      <c r="B4" s="1" t="s">
        <v>39</v>
      </c>
      <c r="C4" s="1">
        <f>Inputs!D13</f>
        <v>2052</v>
      </c>
      <c r="D4" s="1"/>
      <c r="E4" s="1"/>
      <c r="F4" s="1"/>
      <c r="G4" s="1"/>
      <c r="H4" s="13"/>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row>
    <row r="5" spans="1:46" x14ac:dyDescent="0.35">
      <c r="A5" s="1"/>
      <c r="B5" s="1" t="s">
        <v>40</v>
      </c>
      <c r="C5" s="1">
        <f>Inputs!D14</f>
        <v>20</v>
      </c>
      <c r="D5" s="1"/>
      <c r="E5" s="1"/>
      <c r="F5" s="1"/>
      <c r="G5" s="1"/>
      <c r="H5" s="6"/>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row>
    <row r="6" spans="1:46" x14ac:dyDescent="0.35">
      <c r="A6" s="1"/>
      <c r="B6" s="1" t="s">
        <v>41</v>
      </c>
      <c r="C6" s="10">
        <f>Inputs!D15</f>
        <v>7.0000000000000007E-2</v>
      </c>
      <c r="D6" s="1"/>
      <c r="E6" s="1"/>
      <c r="F6" s="1"/>
      <c r="G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row>
    <row r="7" spans="1:46" ht="8.9" customHeight="1" thickBot="1" x14ac:dyDescent="0.4">
      <c r="A7" s="4"/>
      <c r="B7" s="4"/>
      <c r="C7" s="4"/>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row>
    <row r="8" spans="1:46" ht="17.899999999999999" customHeight="1" x14ac:dyDescent="0.35">
      <c r="A8" s="793"/>
      <c r="B8" s="793"/>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row>
    <row r="9" spans="1:46" s="1" customFormat="1" x14ac:dyDescent="0.35">
      <c r="A9" s="794" t="s">
        <v>42</v>
      </c>
      <c r="B9" s="794"/>
      <c r="C9" s="2"/>
      <c r="D9" s="2"/>
      <c r="E9" s="2"/>
      <c r="F9" s="2">
        <f>C2</f>
        <v>2024</v>
      </c>
      <c r="G9" s="2">
        <f>F9+1</f>
        <v>2025</v>
      </c>
      <c r="H9" s="2">
        <f t="shared" ref="H9:AT9" si="0">G9+1</f>
        <v>2026</v>
      </c>
      <c r="I9" s="2">
        <f t="shared" si="0"/>
        <v>2027</v>
      </c>
      <c r="J9" s="2">
        <f t="shared" si="0"/>
        <v>2028</v>
      </c>
      <c r="K9" s="2">
        <f t="shared" si="0"/>
        <v>2029</v>
      </c>
      <c r="L9" s="2">
        <f t="shared" si="0"/>
        <v>2030</v>
      </c>
      <c r="M9" s="2">
        <f t="shared" si="0"/>
        <v>2031</v>
      </c>
      <c r="N9" s="2">
        <f t="shared" si="0"/>
        <v>2032</v>
      </c>
      <c r="O9" s="2">
        <f t="shared" si="0"/>
        <v>2033</v>
      </c>
      <c r="P9" s="2">
        <f t="shared" si="0"/>
        <v>2034</v>
      </c>
      <c r="Q9" s="2">
        <f t="shared" si="0"/>
        <v>2035</v>
      </c>
      <c r="R9" s="2">
        <f t="shared" si="0"/>
        <v>2036</v>
      </c>
      <c r="S9" s="2">
        <f t="shared" si="0"/>
        <v>2037</v>
      </c>
      <c r="T9" s="2">
        <f t="shared" si="0"/>
        <v>2038</v>
      </c>
      <c r="U9" s="2">
        <f t="shared" si="0"/>
        <v>2039</v>
      </c>
      <c r="V9" s="2">
        <f t="shared" si="0"/>
        <v>2040</v>
      </c>
      <c r="W9" s="2">
        <f t="shared" si="0"/>
        <v>2041</v>
      </c>
      <c r="X9" s="2">
        <f t="shared" si="0"/>
        <v>2042</v>
      </c>
      <c r="Y9" s="2">
        <f t="shared" si="0"/>
        <v>2043</v>
      </c>
      <c r="Z9" s="2">
        <f t="shared" si="0"/>
        <v>2044</v>
      </c>
      <c r="AA9" s="2">
        <f t="shared" si="0"/>
        <v>2045</v>
      </c>
      <c r="AB9" s="2">
        <f t="shared" si="0"/>
        <v>2046</v>
      </c>
      <c r="AC9" s="2">
        <f t="shared" si="0"/>
        <v>2047</v>
      </c>
      <c r="AD9" s="2">
        <f t="shared" si="0"/>
        <v>2048</v>
      </c>
      <c r="AE9" s="2">
        <f t="shared" si="0"/>
        <v>2049</v>
      </c>
      <c r="AF9" s="2">
        <f t="shared" si="0"/>
        <v>2050</v>
      </c>
      <c r="AG9" s="2">
        <f t="shared" si="0"/>
        <v>2051</v>
      </c>
      <c r="AH9" s="2">
        <f t="shared" si="0"/>
        <v>2052</v>
      </c>
      <c r="AI9" s="2">
        <f t="shared" si="0"/>
        <v>2053</v>
      </c>
      <c r="AJ9" s="2">
        <f t="shared" si="0"/>
        <v>2054</v>
      </c>
      <c r="AK9" s="2">
        <f t="shared" si="0"/>
        <v>2055</v>
      </c>
      <c r="AL9" s="2">
        <f t="shared" si="0"/>
        <v>2056</v>
      </c>
      <c r="AM9" s="2">
        <f t="shared" si="0"/>
        <v>2057</v>
      </c>
      <c r="AN9" s="2">
        <f t="shared" si="0"/>
        <v>2058</v>
      </c>
      <c r="AO9" s="2">
        <f t="shared" si="0"/>
        <v>2059</v>
      </c>
      <c r="AP9" s="2">
        <f t="shared" si="0"/>
        <v>2060</v>
      </c>
      <c r="AQ9" s="2">
        <f t="shared" si="0"/>
        <v>2061</v>
      </c>
      <c r="AR9" s="2">
        <f t="shared" si="0"/>
        <v>2062</v>
      </c>
      <c r="AS9" s="2">
        <f t="shared" si="0"/>
        <v>2063</v>
      </c>
      <c r="AT9" s="2">
        <f t="shared" si="0"/>
        <v>2064</v>
      </c>
    </row>
    <row r="10" spans="1:46" s="1" customFormat="1" x14ac:dyDescent="0.35">
      <c r="A10" s="794" t="s">
        <v>43</v>
      </c>
      <c r="B10" s="794"/>
      <c r="F10" s="11">
        <f t="shared" ref="F10:AJ10" si="1">IF(F9="","",1/((1+$C$6)^(F9-$C$2)))</f>
        <v>1</v>
      </c>
      <c r="G10" s="11">
        <f>IF(G9="","",1/((1+$C$6)^(G9-$C$2)))</f>
        <v>0.93457943925233644</v>
      </c>
      <c r="H10" s="11">
        <f t="shared" si="1"/>
        <v>0.87343872827321156</v>
      </c>
      <c r="I10" s="11">
        <f t="shared" si="1"/>
        <v>0.81629787689085187</v>
      </c>
      <c r="J10" s="11">
        <f t="shared" si="1"/>
        <v>0.7628952120475252</v>
      </c>
      <c r="K10" s="11">
        <f t="shared" si="1"/>
        <v>0.71298617948366838</v>
      </c>
      <c r="L10" s="11">
        <f t="shared" si="1"/>
        <v>0.66634222381651254</v>
      </c>
      <c r="M10" s="11">
        <f t="shared" si="1"/>
        <v>0.62274974188459109</v>
      </c>
      <c r="N10" s="11">
        <f t="shared" si="1"/>
        <v>0.5820091045650384</v>
      </c>
      <c r="O10" s="11">
        <f t="shared" si="1"/>
        <v>0.54393374258414806</v>
      </c>
      <c r="P10" s="11">
        <f t="shared" si="1"/>
        <v>0.5083492921347178</v>
      </c>
      <c r="Q10" s="11">
        <f t="shared" si="1"/>
        <v>0.47509279638758667</v>
      </c>
      <c r="R10" s="11">
        <f t="shared" si="1"/>
        <v>0.44401195924073528</v>
      </c>
      <c r="S10" s="11">
        <f t="shared" si="1"/>
        <v>0.41496444788853759</v>
      </c>
      <c r="T10" s="11">
        <f t="shared" si="1"/>
        <v>0.3878172410173249</v>
      </c>
      <c r="U10" s="11">
        <f t="shared" si="1"/>
        <v>0.36244601964235967</v>
      </c>
      <c r="V10" s="11">
        <f t="shared" si="1"/>
        <v>0.33873459779659787</v>
      </c>
      <c r="W10" s="11">
        <f t="shared" si="1"/>
        <v>0.31657439046411018</v>
      </c>
      <c r="X10" s="11">
        <f t="shared" si="1"/>
        <v>0.29586391632159825</v>
      </c>
      <c r="Y10" s="11">
        <f t="shared" si="1"/>
        <v>0.27650833301083949</v>
      </c>
      <c r="Z10" s="11">
        <f t="shared" si="1"/>
        <v>0.2584190028138687</v>
      </c>
      <c r="AA10" s="11">
        <f t="shared" si="1"/>
        <v>0.24151308674193336</v>
      </c>
      <c r="AB10" s="11">
        <f t="shared" si="1"/>
        <v>0.22571316517937698</v>
      </c>
      <c r="AC10" s="11">
        <f t="shared" si="1"/>
        <v>0.21094688334521211</v>
      </c>
      <c r="AD10" s="11">
        <f t="shared" si="1"/>
        <v>0.19714661994879637</v>
      </c>
      <c r="AE10" s="11">
        <f t="shared" si="1"/>
        <v>0.18424917752223957</v>
      </c>
      <c r="AF10" s="11">
        <f t="shared" si="1"/>
        <v>0.17219549301143888</v>
      </c>
      <c r="AG10" s="11">
        <f t="shared" si="1"/>
        <v>0.16093036730041013</v>
      </c>
      <c r="AH10" s="11">
        <f t="shared" si="1"/>
        <v>0.15040221243028987</v>
      </c>
      <c r="AI10" s="11">
        <f t="shared" si="1"/>
        <v>0.1405628153554111</v>
      </c>
      <c r="AJ10" s="11">
        <f t="shared" si="1"/>
        <v>0.13136711715458982</v>
      </c>
      <c r="AK10" s="11">
        <f t="shared" ref="AK10:AT10" si="2">IF(AK9="","",1/((1+$C$6)^(AK9-$C$2)))</f>
        <v>0.1227730066865325</v>
      </c>
      <c r="AL10" s="11">
        <f t="shared" si="2"/>
        <v>0.11474112774442291</v>
      </c>
      <c r="AM10" s="11">
        <f t="shared" si="2"/>
        <v>0.10723469882656347</v>
      </c>
      <c r="AN10" s="11">
        <f t="shared" si="2"/>
        <v>0.10021934469772288</v>
      </c>
      <c r="AO10" s="11">
        <f t="shared" si="2"/>
        <v>9.366293896983445E-2</v>
      </c>
      <c r="AP10" s="11">
        <f t="shared" si="2"/>
        <v>8.7535456981153698E-2</v>
      </c>
      <c r="AQ10" s="11">
        <f t="shared" si="2"/>
        <v>8.1808838300143641E-2</v>
      </c>
      <c r="AR10" s="11">
        <f t="shared" si="2"/>
        <v>7.6456858224433308E-2</v>
      </c>
      <c r="AS10" s="11">
        <f t="shared" si="2"/>
        <v>7.1455007686386268E-2</v>
      </c>
      <c r="AT10" s="11">
        <f t="shared" si="2"/>
        <v>6.6780381015314264E-2</v>
      </c>
    </row>
    <row r="11" spans="1:46" s="1" customFormat="1" x14ac:dyDescent="0.35">
      <c r="A11" s="794" t="s">
        <v>44</v>
      </c>
      <c r="B11" s="794"/>
      <c r="C11"/>
      <c r="D11"/>
      <c r="E11"/>
      <c r="F11">
        <f t="shared" ref="F11:AT11" si="3">IF(AND(F9&gt;=$C$3,F9&lt;=$C$4),1,0)</f>
        <v>0</v>
      </c>
      <c r="G11">
        <f t="shared" si="3"/>
        <v>0</v>
      </c>
      <c r="H11">
        <f t="shared" si="3"/>
        <v>0</v>
      </c>
      <c r="I11">
        <f t="shared" si="3"/>
        <v>0</v>
      </c>
      <c r="J11">
        <f t="shared" si="3"/>
        <v>0</v>
      </c>
      <c r="K11">
        <f t="shared" si="3"/>
        <v>0</v>
      </c>
      <c r="L11">
        <f t="shared" si="3"/>
        <v>0</v>
      </c>
      <c r="M11">
        <f t="shared" si="3"/>
        <v>0</v>
      </c>
      <c r="N11">
        <f t="shared" si="3"/>
        <v>0</v>
      </c>
      <c r="O11">
        <f t="shared" si="3"/>
        <v>1</v>
      </c>
      <c r="P11">
        <f t="shared" si="3"/>
        <v>1</v>
      </c>
      <c r="Q11">
        <f t="shared" si="3"/>
        <v>1</v>
      </c>
      <c r="R11">
        <f t="shared" si="3"/>
        <v>1</v>
      </c>
      <c r="S11">
        <f t="shared" si="3"/>
        <v>1</v>
      </c>
      <c r="T11">
        <f t="shared" si="3"/>
        <v>1</v>
      </c>
      <c r="U11">
        <f t="shared" si="3"/>
        <v>1</v>
      </c>
      <c r="V11">
        <f t="shared" si="3"/>
        <v>1</v>
      </c>
      <c r="W11">
        <f t="shared" si="3"/>
        <v>1</v>
      </c>
      <c r="X11">
        <f t="shared" si="3"/>
        <v>1</v>
      </c>
      <c r="Y11">
        <f t="shared" si="3"/>
        <v>1</v>
      </c>
      <c r="Z11">
        <f t="shared" si="3"/>
        <v>1</v>
      </c>
      <c r="AA11">
        <f t="shared" si="3"/>
        <v>1</v>
      </c>
      <c r="AB11">
        <f t="shared" si="3"/>
        <v>1</v>
      </c>
      <c r="AC11">
        <f t="shared" si="3"/>
        <v>1</v>
      </c>
      <c r="AD11">
        <f t="shared" si="3"/>
        <v>1</v>
      </c>
      <c r="AE11">
        <f t="shared" si="3"/>
        <v>1</v>
      </c>
      <c r="AF11">
        <f t="shared" si="3"/>
        <v>1</v>
      </c>
      <c r="AG11">
        <f t="shared" si="3"/>
        <v>1</v>
      </c>
      <c r="AH11">
        <f t="shared" si="3"/>
        <v>1</v>
      </c>
      <c r="AI11">
        <f t="shared" si="3"/>
        <v>0</v>
      </c>
      <c r="AJ11">
        <f t="shared" si="3"/>
        <v>0</v>
      </c>
      <c r="AK11">
        <f t="shared" si="3"/>
        <v>0</v>
      </c>
      <c r="AL11">
        <f t="shared" si="3"/>
        <v>0</v>
      </c>
      <c r="AM11">
        <f t="shared" si="3"/>
        <v>0</v>
      </c>
      <c r="AN11">
        <f t="shared" si="3"/>
        <v>0</v>
      </c>
      <c r="AO11">
        <f t="shared" si="3"/>
        <v>0</v>
      </c>
      <c r="AP11">
        <f t="shared" si="3"/>
        <v>0</v>
      </c>
      <c r="AQ11">
        <f t="shared" si="3"/>
        <v>0</v>
      </c>
      <c r="AR11">
        <f t="shared" si="3"/>
        <v>0</v>
      </c>
      <c r="AS11">
        <f t="shared" si="3"/>
        <v>0</v>
      </c>
      <c r="AT11">
        <f t="shared" si="3"/>
        <v>0</v>
      </c>
    </row>
    <row r="12" spans="1:46" s="1" customFormat="1" ht="4.4000000000000004" customHeight="1" thickBot="1" x14ac:dyDescent="0.4">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row>
    <row r="13" spans="1:46" s="1" customFormat="1" x14ac:dyDescent="0.35">
      <c r="A13"/>
      <c r="B13"/>
      <c r="E13" s="7"/>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row>
    <row r="14" spans="1:46" s="1" customFormat="1" x14ac:dyDescent="0.35">
      <c r="A14"/>
      <c r="B14"/>
      <c r="C14" s="17" t="s">
        <v>45</v>
      </c>
      <c r="D14" s="17" t="s">
        <v>46</v>
      </c>
      <c r="E14" s="7"/>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row>
    <row r="15" spans="1:46" s="1" customFormat="1" x14ac:dyDescent="0.35">
      <c r="A15" s="659" t="s">
        <v>47</v>
      </c>
      <c r="B15" s="39"/>
      <c r="C15" s="39"/>
      <c r="D15" s="40"/>
      <c r="E15" s="40"/>
      <c r="F15" s="40"/>
      <c r="G15" s="41"/>
      <c r="H15" s="41"/>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row>
    <row r="16" spans="1:46" s="1" customFormat="1" x14ac:dyDescent="0.35">
      <c r="B16" s="50" t="s">
        <v>48</v>
      </c>
      <c r="C16" s="48"/>
      <c r="D16" s="792">
        <f>SUM(D17:D19)</f>
        <v>361789151.9390952</v>
      </c>
      <c r="E16" s="792"/>
      <c r="F16" s="522"/>
      <c r="G16" s="522"/>
      <c r="H16" s="791"/>
      <c r="I16" s="791"/>
      <c r="J16" s="791"/>
      <c r="K16" s="791"/>
      <c r="L16" s="791"/>
      <c r="M16" s="791"/>
      <c r="N16" s="791"/>
      <c r="O16" s="791"/>
      <c r="P16" s="791"/>
      <c r="Q16" s="791"/>
      <c r="R16" s="791"/>
      <c r="S16" s="791"/>
      <c r="T16" s="791"/>
      <c r="U16" s="791"/>
      <c r="V16" s="791"/>
      <c r="W16" s="791"/>
      <c r="X16" s="791"/>
      <c r="Y16" s="791"/>
      <c r="Z16" s="791"/>
      <c r="AA16" s="791"/>
      <c r="AB16" s="791"/>
      <c r="AC16" s="791"/>
      <c r="AD16" s="791"/>
      <c r="AE16" s="791"/>
      <c r="AF16" s="791"/>
      <c r="AG16" s="791"/>
      <c r="AH16" s="791"/>
      <c r="AI16" s="791"/>
      <c r="AJ16" s="296"/>
      <c r="AK16" s="296"/>
      <c r="AL16" s="296"/>
      <c r="AM16" s="296"/>
      <c r="AN16" s="296"/>
      <c r="AO16" s="296"/>
      <c r="AP16" s="296"/>
      <c r="AQ16" s="296"/>
      <c r="AR16" s="296"/>
      <c r="AS16" s="296"/>
      <c r="AT16" s="296"/>
    </row>
    <row r="17" spans="1:46" s="1" customFormat="1" x14ac:dyDescent="0.35">
      <c r="A17"/>
      <c r="B17" t="s">
        <v>49</v>
      </c>
      <c r="C17" s="7" t="s">
        <v>50</v>
      </c>
      <c r="D17" s="177">
        <f>SUMIF(F17:AJ17,"&lt;&gt;#n/a")</f>
        <v>133217158.5522002</v>
      </c>
      <c r="E17" s="177"/>
      <c r="F17" s="29">
        <f>'Mobility Benefits'!G33</f>
        <v>0</v>
      </c>
      <c r="G17" s="29">
        <f>'Mobility Benefits'!H33</f>
        <v>0</v>
      </c>
      <c r="H17" s="29">
        <f>'Mobility Benefits'!I33</f>
        <v>0</v>
      </c>
      <c r="I17" s="29">
        <f>'Mobility Benefits'!J33</f>
        <v>0</v>
      </c>
      <c r="J17" s="29">
        <f>'Mobility Benefits'!K33</f>
        <v>0</v>
      </c>
      <c r="K17" s="29">
        <f>'Mobility Benefits'!L33</f>
        <v>0</v>
      </c>
      <c r="L17" s="29">
        <f>'Mobility Benefits'!M33</f>
        <v>0</v>
      </c>
      <c r="M17" s="29">
        <f>'Mobility Benefits'!N33</f>
        <v>0</v>
      </c>
      <c r="N17" s="29">
        <f>'Mobility Benefits'!O33</f>
        <v>0</v>
      </c>
      <c r="O17" s="29">
        <f>'Mobility Benefits'!P33</f>
        <v>824505.67015992035</v>
      </c>
      <c r="P17" s="29">
        <f>'Mobility Benefits'!Q33</f>
        <v>1649011.3403198493</v>
      </c>
      <c r="Q17" s="29">
        <f>'Mobility Benefits'!R33</f>
        <v>2473517.0104797697</v>
      </c>
      <c r="R17" s="29">
        <f>'Mobility Benefits'!S33</f>
        <v>3298022.6806396903</v>
      </c>
      <c r="S17" s="29">
        <f>'Mobility Benefits'!T33</f>
        <v>4122528.3507996192</v>
      </c>
      <c r="T17" s="29">
        <f>'Mobility Benefits'!U33</f>
        <v>6404517.1390189687</v>
      </c>
      <c r="U17" s="29">
        <f>'Mobility Benefits'!V33</f>
        <v>6609251.8654239764</v>
      </c>
      <c r="V17" s="29">
        <f>'Mobility Benefits'!W33</f>
        <v>6820531.3956426699</v>
      </c>
      <c r="W17" s="29">
        <f>'Mobility Benefits'!X33</f>
        <v>7038564.948978994</v>
      </c>
      <c r="X17" s="29">
        <f>'Mobility Benefits'!Y33</f>
        <v>7263568.4329003217</v>
      </c>
      <c r="Y17" s="29">
        <f>'Mobility Benefits'!Z33</f>
        <v>7495764.656839503</v>
      </c>
      <c r="Z17" s="29">
        <f>'Mobility Benefits'!AA33</f>
        <v>7735383.5528316377</v>
      </c>
      <c r="AA17" s="29">
        <f>'Mobility Benefits'!AB33</f>
        <v>7982662.4032040248</v>
      </c>
      <c r="AB17" s="29">
        <f>'Mobility Benefits'!AC33</f>
        <v>8237846.0755446907</v>
      </c>
      <c r="AC17" s="29">
        <f>'Mobility Benefits'!AD33</f>
        <v>8501187.2651822325</v>
      </c>
      <c r="AD17" s="29">
        <f>'Mobility Benefits'!AE33</f>
        <v>8772946.7454170715</v>
      </c>
      <c r="AE17" s="29">
        <f>'Mobility Benefits'!AF33</f>
        <v>9053393.6257518977</v>
      </c>
      <c r="AF17" s="29">
        <f>'Mobility Benefits'!AG33</f>
        <v>9342805.6183770206</v>
      </c>
      <c r="AG17" s="29">
        <f>'Mobility Benefits'!AH33</f>
        <v>9641469.3131745737</v>
      </c>
      <c r="AH17" s="29">
        <f>'Mobility Benefits'!AI33</f>
        <v>9949680.4615137726</v>
      </c>
      <c r="AI17" s="29">
        <f>'Mobility Benefits'!AJ33</f>
        <v>0</v>
      </c>
      <c r="AJ17" s="29">
        <f>'Mobility Benefits'!AK33</f>
        <v>0</v>
      </c>
      <c r="AK17" s="29">
        <f>'Mobility Benefits'!AL33</f>
        <v>0</v>
      </c>
      <c r="AL17" s="29">
        <f>'Mobility Benefits'!AM33</f>
        <v>0</v>
      </c>
      <c r="AM17" s="29">
        <f>'Mobility Benefits'!AN33</f>
        <v>0</v>
      </c>
      <c r="AN17" s="29">
        <f>'Mobility Benefits'!AO33</f>
        <v>0</v>
      </c>
      <c r="AO17" s="29">
        <f>'Mobility Benefits'!AP33</f>
        <v>0</v>
      </c>
      <c r="AP17" s="29">
        <f>'Mobility Benefits'!AQ33</f>
        <v>0</v>
      </c>
      <c r="AQ17" s="29">
        <f>'Mobility Benefits'!AR33</f>
        <v>0</v>
      </c>
      <c r="AR17" s="29">
        <f>'Mobility Benefits'!AS33</f>
        <v>0</v>
      </c>
      <c r="AS17" s="29">
        <f>'Mobility Benefits'!AT33</f>
        <v>0</v>
      </c>
      <c r="AT17" s="29">
        <f>'Mobility Benefits'!AU33</f>
        <v>0</v>
      </c>
    </row>
    <row r="18" spans="1:46" s="1" customFormat="1" x14ac:dyDescent="0.35">
      <c r="A18"/>
      <c r="B18" t="s">
        <v>51</v>
      </c>
      <c r="C18" s="7" t="s">
        <v>50</v>
      </c>
      <c r="D18" s="177">
        <f>SUMIF(F18:AJ18,"&lt;&gt;#n/a")</f>
        <v>201509572.22616985</v>
      </c>
      <c r="E18" s="177"/>
      <c r="F18" s="29">
        <f>'Mobility Benefits'!G32+'Mobility Benefits'!G37</f>
        <v>0</v>
      </c>
      <c r="G18" s="29">
        <f>'Mobility Benefits'!H32+'Mobility Benefits'!H37</f>
        <v>0</v>
      </c>
      <c r="H18" s="29">
        <f>'Mobility Benefits'!I32+'Mobility Benefits'!I37</f>
        <v>0</v>
      </c>
      <c r="I18" s="29">
        <f>'Mobility Benefits'!J32+'Mobility Benefits'!J37</f>
        <v>0</v>
      </c>
      <c r="J18" s="29">
        <f>'Mobility Benefits'!K32+'Mobility Benefits'!K37</f>
        <v>0</v>
      </c>
      <c r="K18" s="29">
        <f>'Mobility Benefits'!L32+'Mobility Benefits'!L37</f>
        <v>0</v>
      </c>
      <c r="L18" s="29">
        <f>'Mobility Benefits'!M32+'Mobility Benefits'!M37</f>
        <v>0</v>
      </c>
      <c r="M18" s="29">
        <f>'Mobility Benefits'!N32+'Mobility Benefits'!N37</f>
        <v>0</v>
      </c>
      <c r="N18" s="29">
        <f>'Mobility Benefits'!O32+'Mobility Benefits'!O37</f>
        <v>0</v>
      </c>
      <c r="O18" s="29">
        <f>'Mobility Benefits'!P32+'Mobility Benefits'!P37</f>
        <v>1247180.0682257814</v>
      </c>
      <c r="P18" s="29">
        <f>'Mobility Benefits'!Q32+'Mobility Benefits'!Q37</f>
        <v>2494360.1364515629</v>
      </c>
      <c r="Q18" s="29">
        <f>'Mobility Benefits'!R32+'Mobility Benefits'!R37</f>
        <v>3741540.2046773452</v>
      </c>
      <c r="R18" s="29">
        <f>'Mobility Benefits'!S32+'Mobility Benefits'!S37</f>
        <v>4988720.2729031267</v>
      </c>
      <c r="S18" s="29">
        <f>'Mobility Benefits'!T32+'Mobility Benefits'!T37</f>
        <v>6235900.3411289081</v>
      </c>
      <c r="T18" s="29">
        <f>'Mobility Benefits'!U32+'Mobility Benefits'!U37</f>
        <v>9687727.3395167273</v>
      </c>
      <c r="U18" s="29">
        <f>'Mobility Benefits'!V32+'Mobility Benefits'!V37</f>
        <v>9997417.229213262</v>
      </c>
      <c r="V18" s="29">
        <f>'Mobility Benefits'!W32+'Mobility Benefits'!W37</f>
        <v>10317007.049452754</v>
      </c>
      <c r="W18" s="29">
        <f>'Mobility Benefits'!X32+'Mobility Benefits'!X37</f>
        <v>10646813.273675274</v>
      </c>
      <c r="X18" s="29">
        <f>'Mobility Benefits'!Y32+'Mobility Benefits'!Y37</f>
        <v>10987162.492102867</v>
      </c>
      <c r="Y18" s="29">
        <f>'Mobility Benefits'!Z32+'Mobility Benefits'!Z37</f>
        <v>11338391.735145023</v>
      </c>
      <c r="Z18" s="29">
        <f>'Mobility Benefits'!AA32+'Mobility Benefits'!AA37</f>
        <v>11700848.807142718</v>
      </c>
      <c r="AA18" s="29">
        <f>'Mobility Benefits'!AB32+'Mobility Benefits'!AB37</f>
        <v>12074892.630781196</v>
      </c>
      <c r="AB18" s="29">
        <f>'Mobility Benefits'!AC32+'Mobility Benefits'!AC37</f>
        <v>12460893.60251279</v>
      </c>
      <c r="AC18" s="29">
        <f>'Mobility Benefits'!AD32+'Mobility Benefits'!AD37</f>
        <v>12859233.959341511</v>
      </c>
      <c r="AD18" s="29">
        <f>'Mobility Benefits'!AE32+'Mobility Benefits'!AE37</f>
        <v>13270308.15733283</v>
      </c>
      <c r="AE18" s="29">
        <f>'Mobility Benefits'!AF32+'Mobility Benefits'!AF37</f>
        <v>13694523.262223313</v>
      </c>
      <c r="AF18" s="29">
        <f>'Mobility Benefits'!AG32+'Mobility Benefits'!AG37</f>
        <v>14132299.352516973</v>
      </c>
      <c r="AG18" s="29">
        <f>'Mobility Benefits'!AH32+'Mobility Benefits'!AH37</f>
        <v>14584069.935467515</v>
      </c>
      <c r="AH18" s="29">
        <f>'Mobility Benefits'!AI32+'Mobility Benefits'!AI37</f>
        <v>15050282.376358394</v>
      </c>
      <c r="AI18" s="29">
        <f>'Mobility Benefits'!AJ32+'Mobility Benefits'!AJ37</f>
        <v>0</v>
      </c>
      <c r="AJ18" s="29">
        <f>'Mobility Benefits'!AK32+'Mobility Benefits'!AK37</f>
        <v>0</v>
      </c>
      <c r="AK18" s="29">
        <f>'Mobility Benefits'!AL32+'Mobility Benefits'!AL37</f>
        <v>0</v>
      </c>
      <c r="AL18" s="29">
        <f>'Mobility Benefits'!AM32+'Mobility Benefits'!AM37</f>
        <v>0</v>
      </c>
      <c r="AM18" s="29">
        <f>'Mobility Benefits'!AN32+'Mobility Benefits'!AN37</f>
        <v>0</v>
      </c>
      <c r="AN18" s="29">
        <f>'Mobility Benefits'!AO32+'Mobility Benefits'!AO37</f>
        <v>0</v>
      </c>
      <c r="AO18" s="29">
        <f>'Mobility Benefits'!AP32+'Mobility Benefits'!AP37</f>
        <v>0</v>
      </c>
      <c r="AP18" s="29">
        <f>'Mobility Benefits'!AQ32+'Mobility Benefits'!AQ37</f>
        <v>0</v>
      </c>
      <c r="AQ18" s="29">
        <f>'Mobility Benefits'!AR32+'Mobility Benefits'!AR37</f>
        <v>0</v>
      </c>
      <c r="AR18" s="29">
        <f>'Mobility Benefits'!AS32+'Mobility Benefits'!AS37</f>
        <v>0</v>
      </c>
      <c r="AS18" s="29">
        <f>'Mobility Benefits'!AT32+'Mobility Benefits'!AT37</f>
        <v>0</v>
      </c>
      <c r="AT18" s="29">
        <f>'Mobility Benefits'!AU32+'Mobility Benefits'!AU37</f>
        <v>0</v>
      </c>
    </row>
    <row r="19" spans="1:46" s="1" customFormat="1" x14ac:dyDescent="0.35">
      <c r="A19"/>
      <c r="B19" t="s">
        <v>52</v>
      </c>
      <c r="C19" s="7" t="s">
        <v>50</v>
      </c>
      <c r="D19" s="177">
        <f>SUMIF(F19:AT19,"&lt;&gt;#n/a")</f>
        <v>27062421.160725184</v>
      </c>
      <c r="E19" s="177"/>
      <c r="F19" s="29">
        <f>'Mobility Benefits'!G34</f>
        <v>0</v>
      </c>
      <c r="G19" s="29">
        <f>'Mobility Benefits'!H34</f>
        <v>0</v>
      </c>
      <c r="H19" s="29">
        <f>'Mobility Benefits'!I34</f>
        <v>0</v>
      </c>
      <c r="I19" s="29">
        <f>'Mobility Benefits'!J34</f>
        <v>0</v>
      </c>
      <c r="J19" s="29">
        <f>'Mobility Benefits'!K34</f>
        <v>0</v>
      </c>
      <c r="K19" s="29">
        <f>'Mobility Benefits'!L34</f>
        <v>0</v>
      </c>
      <c r="L19" s="29">
        <f>'Mobility Benefits'!M34</f>
        <v>0</v>
      </c>
      <c r="M19" s="29">
        <f>'Mobility Benefits'!N34</f>
        <v>0</v>
      </c>
      <c r="N19" s="29">
        <f>'Mobility Benefits'!O34</f>
        <v>0</v>
      </c>
      <c r="O19" s="29">
        <f>'Mobility Benefits'!P34</f>
        <v>167494.33734942332</v>
      </c>
      <c r="P19" s="29">
        <f>'Mobility Benefits'!Q34</f>
        <v>334988.67469884665</v>
      </c>
      <c r="Q19" s="29">
        <f>'Mobility Benefits'!R34</f>
        <v>502483.01204826997</v>
      </c>
      <c r="R19" s="29">
        <f>'Mobility Benefits'!S34</f>
        <v>669977.3493976933</v>
      </c>
      <c r="S19" s="29">
        <f>'Mobility Benefits'!T34</f>
        <v>837471.68674711662</v>
      </c>
      <c r="T19" s="29">
        <f>'Mobility Benefits'!U34</f>
        <v>1301046.6671926426</v>
      </c>
      <c r="U19" s="29">
        <f>'Mobility Benefits'!V34</f>
        <v>1342637.5362099197</v>
      </c>
      <c r="V19" s="29">
        <f>'Mobility Benefits'!W34</f>
        <v>1385557.950453538</v>
      </c>
      <c r="W19" s="29">
        <f>'Mobility Benefits'!X34</f>
        <v>1429850.4118127478</v>
      </c>
      <c r="X19" s="29">
        <f>'Mobility Benefits'!Y34</f>
        <v>1475558.7808448316</v>
      </c>
      <c r="Y19" s="29">
        <f>'Mobility Benefits'!Z34</f>
        <v>1522728.3202079602</v>
      </c>
      <c r="Z19" s="29">
        <f>'Mobility Benefits'!AA34</f>
        <v>1571405.7394824922</v>
      </c>
      <c r="AA19" s="29">
        <f>'Mobility Benefits'!AB34</f>
        <v>1621639.2414250763</v>
      </c>
      <c r="AB19" s="29">
        <f>'Mobility Benefits'!AC34</f>
        <v>1673478.569701378</v>
      </c>
      <c r="AC19" s="29">
        <f>'Mobility Benefits'!AD34</f>
        <v>1726975.0581446816</v>
      </c>
      <c r="AD19" s="29">
        <f>'Mobility Benefits'!AE34</f>
        <v>1782181.6815891617</v>
      </c>
      <c r="AE19" s="29">
        <f>'Mobility Benefits'!AF34</f>
        <v>1839153.1083281466</v>
      </c>
      <c r="AF19" s="29">
        <f>'Mobility Benefits'!AG34</f>
        <v>1897945.754249332</v>
      </c>
      <c r="AG19" s="29">
        <f>'Mobility Benefits'!AH34</f>
        <v>1958617.8387005448</v>
      </c>
      <c r="AH19" s="29">
        <f>'Mobility Benefits'!AI34</f>
        <v>2021229.4421413869</v>
      </c>
      <c r="AI19" s="29">
        <f>'Mobility Benefits'!AJ34</f>
        <v>0</v>
      </c>
      <c r="AJ19" s="29">
        <f>'Mobility Benefits'!AK34</f>
        <v>0</v>
      </c>
      <c r="AK19" s="29">
        <f>'Mobility Benefits'!AL34</f>
        <v>0</v>
      </c>
      <c r="AL19" s="29">
        <f>'Mobility Benefits'!AM34</f>
        <v>0</v>
      </c>
      <c r="AM19" s="29">
        <f>'Mobility Benefits'!AN34</f>
        <v>0</v>
      </c>
      <c r="AN19" s="29">
        <f>'Mobility Benefits'!AO34</f>
        <v>0</v>
      </c>
      <c r="AO19" s="29">
        <f>'Mobility Benefits'!AP34</f>
        <v>0</v>
      </c>
      <c r="AP19" s="29">
        <f>'Mobility Benefits'!AQ34</f>
        <v>0</v>
      </c>
      <c r="AQ19" s="29">
        <f>'Mobility Benefits'!AR34</f>
        <v>0</v>
      </c>
      <c r="AR19" s="29">
        <f>'Mobility Benefits'!AS34</f>
        <v>0</v>
      </c>
      <c r="AS19" s="29">
        <f>'Mobility Benefits'!AT34</f>
        <v>0</v>
      </c>
      <c r="AT19" s="29">
        <f>'Mobility Benefits'!AU34</f>
        <v>0</v>
      </c>
    </row>
    <row r="20" spans="1:46" s="1" customFormat="1" x14ac:dyDescent="0.35">
      <c r="B20" s="50" t="s">
        <v>18</v>
      </c>
      <c r="C20" s="48"/>
      <c r="D20" s="792">
        <f>SUM(D21:D21)</f>
        <v>52063897.724522986</v>
      </c>
      <c r="E20" s="792"/>
      <c r="F20" s="522"/>
      <c r="G20" s="522"/>
      <c r="H20" s="791"/>
      <c r="I20" s="791"/>
      <c r="J20" s="791"/>
      <c r="K20" s="791"/>
      <c r="L20" s="791"/>
      <c r="M20" s="791"/>
      <c r="N20" s="791"/>
      <c r="O20" s="791"/>
      <c r="P20" s="791"/>
      <c r="Q20" s="791"/>
      <c r="R20" s="791"/>
      <c r="S20" s="791"/>
      <c r="T20" s="791"/>
      <c r="U20" s="791"/>
      <c r="V20" s="791"/>
      <c r="W20" s="791"/>
      <c r="X20" s="791"/>
      <c r="Y20" s="791"/>
      <c r="Z20" s="791"/>
      <c r="AA20" s="791"/>
      <c r="AB20" s="791"/>
      <c r="AC20" s="791"/>
      <c r="AD20" s="791"/>
      <c r="AE20" s="791"/>
      <c r="AF20" s="791"/>
      <c r="AG20" s="791"/>
      <c r="AH20" s="791"/>
      <c r="AI20" s="791"/>
      <c r="AJ20" s="296"/>
      <c r="AK20" s="296"/>
      <c r="AL20" s="296"/>
      <c r="AM20" s="296"/>
      <c r="AN20" s="296"/>
      <c r="AO20" s="296"/>
      <c r="AP20" s="296"/>
      <c r="AQ20" s="296"/>
      <c r="AR20" s="296"/>
      <c r="AS20" s="296"/>
      <c r="AT20" s="296"/>
    </row>
    <row r="21" spans="1:46" s="1" customFormat="1" x14ac:dyDescent="0.35">
      <c r="A21"/>
      <c r="B21" t="s">
        <v>53</v>
      </c>
      <c r="C21" s="7" t="s">
        <v>50</v>
      </c>
      <c r="D21" s="177">
        <f>SUMIF(F21:AJ21,"&lt;&gt;#n/a")</f>
        <v>52063897.724522986</v>
      </c>
      <c r="E21" s="177"/>
      <c r="F21" s="29">
        <f>Safety!G96</f>
        <v>0</v>
      </c>
      <c r="G21" s="29">
        <f>Safety!H96</f>
        <v>0</v>
      </c>
      <c r="H21" s="29">
        <f>Safety!I96</f>
        <v>0</v>
      </c>
      <c r="I21" s="29">
        <f>Safety!J96</f>
        <v>0</v>
      </c>
      <c r="J21" s="29">
        <f>Safety!K96</f>
        <v>0</v>
      </c>
      <c r="K21" s="29">
        <f>Safety!L96</f>
        <v>0</v>
      </c>
      <c r="L21" s="29">
        <f>Safety!M96</f>
        <v>0</v>
      </c>
      <c r="M21" s="29">
        <f>Safety!N96</f>
        <v>0</v>
      </c>
      <c r="N21" s="29">
        <f>Safety!O96</f>
        <v>0</v>
      </c>
      <c r="O21" s="29">
        <f>Safety!P96</f>
        <v>322233.10683867312</v>
      </c>
      <c r="P21" s="29">
        <f>Safety!Q96</f>
        <v>644466.21367734624</v>
      </c>
      <c r="Q21" s="29">
        <f>Safety!R96</f>
        <v>966699.32051601924</v>
      </c>
      <c r="R21" s="29">
        <f>Safety!S96</f>
        <v>1288932.4273546925</v>
      </c>
      <c r="S21" s="29">
        <f>Safety!T96</f>
        <v>1611165.5341933654</v>
      </c>
      <c r="T21" s="29">
        <f>Safety!U96</f>
        <v>2503011.8411524305</v>
      </c>
      <c r="U21" s="29">
        <f>Safety!V96</f>
        <v>2583026.2174689174</v>
      </c>
      <c r="V21" s="29">
        <f>Safety!W96</f>
        <v>2665598.4324308564</v>
      </c>
      <c r="W21" s="29">
        <f>Safety!X96</f>
        <v>2750810.2530760821</v>
      </c>
      <c r="X21" s="29">
        <f>Safety!Y96</f>
        <v>2838746.0603088373</v>
      </c>
      <c r="Y21" s="29">
        <f>Safety!Z96</f>
        <v>2929492.9324578396</v>
      </c>
      <c r="Z21" s="29">
        <f>Safety!AA96</f>
        <v>3023140.7315055085</v>
      </c>
      <c r="AA21" s="29">
        <f>Safety!AB96</f>
        <v>3119782.1920736744</v>
      </c>
      <c r="AB21" s="29">
        <f>Safety!AC96</f>
        <v>3219513.0132539407</v>
      </c>
      <c r="AC21" s="29">
        <f>Safety!AD96</f>
        <v>3322431.9533735854</v>
      </c>
      <c r="AD21" s="29">
        <f>Safety!AE96</f>
        <v>3428640.9277908863</v>
      </c>
      <c r="AE21" s="29">
        <f>Safety!AF96</f>
        <v>3538245.1098166741</v>
      </c>
      <c r="AF21" s="29">
        <f>Safety!AG96</f>
        <v>3651353.0348620871</v>
      </c>
      <c r="AG21" s="29">
        <f>Safety!AH96</f>
        <v>3768076.7079156213</v>
      </c>
      <c r="AH21" s="29">
        <f>Safety!AI96</f>
        <v>3888531.7144559543</v>
      </c>
      <c r="AI21" s="29">
        <f>Safety!AJ96</f>
        <v>0</v>
      </c>
      <c r="AJ21" s="29">
        <f>Safety!AK96</f>
        <v>0</v>
      </c>
      <c r="AK21" s="29">
        <f>Safety!AL96</f>
        <v>0</v>
      </c>
      <c r="AL21" s="29">
        <f>Safety!AM96</f>
        <v>0</v>
      </c>
      <c r="AM21" s="29">
        <f>Safety!AN96</f>
        <v>0</v>
      </c>
      <c r="AN21" s="29">
        <f>Safety!AO96</f>
        <v>0</v>
      </c>
      <c r="AO21" s="29">
        <f>Safety!AP96</f>
        <v>0</v>
      </c>
      <c r="AP21" s="29">
        <f>Safety!AQ96</f>
        <v>0</v>
      </c>
      <c r="AQ21" s="29">
        <f>Safety!AR96</f>
        <v>0</v>
      </c>
      <c r="AR21" s="29">
        <f>Safety!AS96</f>
        <v>0</v>
      </c>
      <c r="AS21" s="29">
        <f>Safety!AT96</f>
        <v>0</v>
      </c>
      <c r="AT21" s="29">
        <f>Safety!AU90</f>
        <v>0</v>
      </c>
    </row>
    <row r="22" spans="1:46" s="1" customFormat="1" x14ac:dyDescent="0.35">
      <c r="B22" s="50" t="s">
        <v>54</v>
      </c>
      <c r="C22" s="48"/>
      <c r="D22" s="792">
        <f>SUM(D23:D25)</f>
        <v>13035967.207274206</v>
      </c>
      <c r="E22" s="792"/>
      <c r="F22" s="522"/>
      <c r="G22" s="522"/>
      <c r="H22" s="791"/>
      <c r="I22" s="791"/>
      <c r="J22" s="791"/>
      <c r="K22" s="791"/>
      <c r="L22" s="791"/>
      <c r="M22" s="791"/>
      <c r="N22" s="791"/>
      <c r="O22" s="791"/>
      <c r="P22" s="791"/>
      <c r="Q22" s="791"/>
      <c r="R22" s="791"/>
      <c r="S22" s="791"/>
      <c r="T22" s="791"/>
      <c r="U22" s="791"/>
      <c r="V22" s="791"/>
      <c r="W22" s="791"/>
      <c r="X22" s="791"/>
      <c r="Y22" s="791"/>
      <c r="Z22" s="791"/>
      <c r="AA22" s="791"/>
      <c r="AB22" s="791"/>
      <c r="AC22" s="791"/>
      <c r="AD22" s="791"/>
      <c r="AE22" s="791"/>
      <c r="AF22" s="791"/>
      <c r="AG22" s="791"/>
      <c r="AH22" s="791"/>
      <c r="AI22" s="791"/>
      <c r="AJ22" s="296"/>
      <c r="AK22" s="296"/>
      <c r="AL22" s="296"/>
      <c r="AM22" s="296"/>
      <c r="AN22" s="296"/>
      <c r="AO22" s="296"/>
      <c r="AP22" s="296"/>
      <c r="AQ22" s="296"/>
      <c r="AR22" s="296"/>
      <c r="AS22" s="296"/>
      <c r="AT22" s="296"/>
    </row>
    <row r="23" spans="1:46" s="1" customFormat="1" x14ac:dyDescent="0.35">
      <c r="A23"/>
      <c r="B23" t="s">
        <v>55</v>
      </c>
      <c r="C23" s="7" t="s">
        <v>50</v>
      </c>
      <c r="D23" s="177">
        <f>SUMIF(F23:AT23,"&lt;&gt;#n/a")</f>
        <v>3105201.0142337121</v>
      </c>
      <c r="E23" s="177"/>
      <c r="F23" s="29">
        <f>'Env &amp; Comm Benefits'!G60+'Env &amp; Comm Benefits'!G82</f>
        <v>0</v>
      </c>
      <c r="G23" s="29">
        <f>'Env &amp; Comm Benefits'!H60+'Env &amp; Comm Benefits'!H82</f>
        <v>0</v>
      </c>
      <c r="H23" s="29">
        <f>'Env &amp; Comm Benefits'!I60+'Env &amp; Comm Benefits'!I82</f>
        <v>0</v>
      </c>
      <c r="I23" s="29">
        <f>'Env &amp; Comm Benefits'!J60+'Env &amp; Comm Benefits'!J82</f>
        <v>0</v>
      </c>
      <c r="J23" s="29">
        <f>'Env &amp; Comm Benefits'!K60+'Env &amp; Comm Benefits'!K82</f>
        <v>0</v>
      </c>
      <c r="K23" s="29">
        <f>'Env &amp; Comm Benefits'!L60+'Env &amp; Comm Benefits'!L82</f>
        <v>0</v>
      </c>
      <c r="L23" s="29">
        <f>'Env &amp; Comm Benefits'!M60+'Env &amp; Comm Benefits'!M82</f>
        <v>0</v>
      </c>
      <c r="M23" s="29">
        <f>'Env &amp; Comm Benefits'!N60+'Env &amp; Comm Benefits'!N82</f>
        <v>0</v>
      </c>
      <c r="N23" s="29">
        <f>'Env &amp; Comm Benefits'!O60+'Env &amp; Comm Benefits'!O82</f>
        <v>0</v>
      </c>
      <c r="O23" s="29">
        <f>'Env &amp; Comm Benefits'!P60+'Env &amp; Comm Benefits'!P82</f>
        <v>40403.31764298262</v>
      </c>
      <c r="P23" s="29">
        <f>'Env &amp; Comm Benefits'!Q60+'Env &amp; Comm Benefits'!Q82</f>
        <v>75215.998183167671</v>
      </c>
      <c r="Q23" s="29">
        <f>'Env &amp; Comm Benefits'!R60+'Env &amp; Comm Benefits'!R82</f>
        <v>104438.04162055512</v>
      </c>
      <c r="R23" s="29">
        <f>'Env &amp; Comm Benefits'!S60+'Env &amp; Comm Benefits'!S82</f>
        <v>128069.44795514501</v>
      </c>
      <c r="S23" s="29">
        <f>'Env &amp; Comm Benefits'!T60+'Env &amp; Comm Benefits'!T82</f>
        <v>146110.21718693737</v>
      </c>
      <c r="T23" s="29">
        <f>'Env &amp; Comm Benefits'!U60+'Env &amp; Comm Benefits'!U82</f>
        <v>205275.0133636134</v>
      </c>
      <c r="U23" s="29">
        <f>'Env &amp; Comm Benefits'!V60+'Env &amp; Comm Benefits'!V82</f>
        <v>189429.76628551976</v>
      </c>
      <c r="V23" s="29">
        <f>'Env &amp; Comm Benefits'!W60+'Env &amp; Comm Benefits'!W82</f>
        <v>172361.69019923985</v>
      </c>
      <c r="W23" s="29">
        <f>'Env &amp; Comm Benefits'!X60+'Env &amp; Comm Benefits'!X82</f>
        <v>172513.01663170691</v>
      </c>
      <c r="X23" s="29">
        <f>'Env &amp; Comm Benefits'!Y60+'Env &amp; Comm Benefits'!Y82</f>
        <v>172497.88088245047</v>
      </c>
      <c r="Y23" s="29">
        <f>'Env &amp; Comm Benefits'!Z60+'Env &amp; Comm Benefits'!Z82</f>
        <v>172305.48563782818</v>
      </c>
      <c r="Z23" s="29">
        <f>'Env &amp; Comm Benefits'!AA60+'Env &amp; Comm Benefits'!AA82</f>
        <v>171924.51337202368</v>
      </c>
      <c r="AA23" s="29">
        <f>'Env &amp; Comm Benefits'!AB60+'Env &amp; Comm Benefits'!AB82</f>
        <v>171343.10412137414</v>
      </c>
      <c r="AB23" s="29">
        <f>'Env &amp; Comm Benefits'!AC60+'Env &amp; Comm Benefits'!AC82</f>
        <v>170548.83236931977</v>
      </c>
      <c r="AC23" s="29">
        <f>'Env &amp; Comm Benefits'!AD60+'Env &amp; Comm Benefits'!AD82</f>
        <v>169528.68300782281</v>
      </c>
      <c r="AD23" s="29">
        <f>'Env &amp; Comm Benefits'!AE60+'Env &amp; Comm Benefits'!AE82</f>
        <v>168269.02633983461</v>
      </c>
      <c r="AE23" s="29">
        <f>'Env &amp; Comm Benefits'!AF60+'Env &amp; Comm Benefits'!AF82</f>
        <v>166755.59208606367</v>
      </c>
      <c r="AF23" s="29">
        <f>'Env &amp; Comm Benefits'!AG60+'Env &amp; Comm Benefits'!AG82</f>
        <v>164973.44235793137</v>
      </c>
      <c r="AG23" s="29">
        <f>'Env &amp; Comm Benefits'!AH60+'Env &amp; Comm Benefits'!AH82</f>
        <v>169366.37159696454</v>
      </c>
      <c r="AH23" s="29">
        <f>'Env &amp; Comm Benefits'!AI60+'Env &amp; Comm Benefits'!AI82</f>
        <v>173871.57339323102</v>
      </c>
      <c r="AI23" s="29">
        <f>'Env &amp; Comm Benefits'!AJ60+'Env &amp; Comm Benefits'!AJ82</f>
        <v>0</v>
      </c>
      <c r="AJ23" s="29">
        <f>'Env &amp; Comm Benefits'!AK60+'Env &amp; Comm Benefits'!AK82</f>
        <v>0</v>
      </c>
      <c r="AK23" s="29">
        <f>'Env &amp; Comm Benefits'!AL60+'Env &amp; Comm Benefits'!AL82</f>
        <v>0</v>
      </c>
      <c r="AL23" s="29">
        <f>'Env &amp; Comm Benefits'!AM60+'Env &amp; Comm Benefits'!AM82</f>
        <v>0</v>
      </c>
      <c r="AM23" s="29">
        <f>'Env &amp; Comm Benefits'!AN60+'Env &amp; Comm Benefits'!AN82</f>
        <v>0</v>
      </c>
      <c r="AN23" s="29">
        <f>'Env &amp; Comm Benefits'!AO60+'Env &amp; Comm Benefits'!AO82</f>
        <v>0</v>
      </c>
      <c r="AO23" s="29">
        <f>'Env &amp; Comm Benefits'!AP60+'Env &amp; Comm Benefits'!AP82</f>
        <v>0</v>
      </c>
      <c r="AP23" s="29">
        <f>'Env &amp; Comm Benefits'!AQ60+'Env &amp; Comm Benefits'!AQ82</f>
        <v>0</v>
      </c>
      <c r="AQ23" s="29">
        <f>'Env &amp; Comm Benefits'!AR60+'Env &amp; Comm Benefits'!AR82</f>
        <v>0</v>
      </c>
      <c r="AR23" s="29">
        <f>'Env &amp; Comm Benefits'!AS60+'Env &amp; Comm Benefits'!AS82</f>
        <v>0</v>
      </c>
      <c r="AS23" s="29">
        <f>'Env &amp; Comm Benefits'!AT60+'Env &amp; Comm Benefits'!AT82</f>
        <v>0</v>
      </c>
      <c r="AT23" s="29">
        <f>'Env &amp; Comm Benefits'!AU60+'Env &amp; Comm Benefits'!AU82</f>
        <v>0</v>
      </c>
    </row>
    <row r="24" spans="1:46" s="1" customFormat="1" x14ac:dyDescent="0.35">
      <c r="A24"/>
      <c r="B24" t="s">
        <v>56</v>
      </c>
      <c r="C24" s="7" t="s">
        <v>50</v>
      </c>
      <c r="D24" s="177">
        <f>SUMIF(F24:AT24,"&lt;&gt;#n/a")</f>
        <v>7484512.4025295265</v>
      </c>
      <c r="E24" s="177"/>
      <c r="F24" s="29">
        <f>'Env &amp; Comm Benefits'!G62</f>
        <v>0</v>
      </c>
      <c r="G24" s="29">
        <f>'Env &amp; Comm Benefits'!H62</f>
        <v>0</v>
      </c>
      <c r="H24" s="29">
        <f>'Env &amp; Comm Benefits'!I62</f>
        <v>0</v>
      </c>
      <c r="I24" s="29">
        <f>'Env &amp; Comm Benefits'!J62</f>
        <v>0</v>
      </c>
      <c r="J24" s="29">
        <f>'Env &amp; Comm Benefits'!K62</f>
        <v>0</v>
      </c>
      <c r="K24" s="29">
        <f>'Env &amp; Comm Benefits'!L62</f>
        <v>0</v>
      </c>
      <c r="L24" s="29">
        <f>'Env &amp; Comm Benefits'!M62</f>
        <v>0</v>
      </c>
      <c r="M24" s="29">
        <f>'Env &amp; Comm Benefits'!N62</f>
        <v>0</v>
      </c>
      <c r="N24" s="29">
        <f>'Env &amp; Comm Benefits'!O62</f>
        <v>0</v>
      </c>
      <c r="O24" s="29">
        <f>'Env &amp; Comm Benefits'!P62</f>
        <v>46323.033619200032</v>
      </c>
      <c r="P24" s="29">
        <f>'Env &amp; Comm Benefits'!Q62</f>
        <v>92646.067238400065</v>
      </c>
      <c r="Q24" s="29">
        <f>'Env &amp; Comm Benefits'!R62</f>
        <v>138969.1008576001</v>
      </c>
      <c r="R24" s="29">
        <f>'Env &amp; Comm Benefits'!S62</f>
        <v>185292.13447680013</v>
      </c>
      <c r="S24" s="29">
        <f>'Env &amp; Comm Benefits'!T62</f>
        <v>231615.16809600018</v>
      </c>
      <c r="T24" s="29">
        <f>'Env &amp; Comm Benefits'!U62</f>
        <v>359823.67797176429</v>
      </c>
      <c r="U24" s="29">
        <f>'Env &amp; Comm Benefits'!V62</f>
        <v>371326.24727785256</v>
      </c>
      <c r="V24" s="29">
        <f>'Env &amp; Comm Benefits'!W62</f>
        <v>383196.52195949369</v>
      </c>
      <c r="W24" s="29">
        <f>'Env &amp; Comm Benefits'!X62</f>
        <v>395446.256542099</v>
      </c>
      <c r="X24" s="29">
        <f>'Env &amp; Comm Benefits'!Y62</f>
        <v>408087.5813107976</v>
      </c>
      <c r="Y24" s="29">
        <f>'Env &amp; Comm Benefits'!Z62</f>
        <v>421133.01432243432</v>
      </c>
      <c r="Z24" s="29">
        <f>'Env &amp; Comm Benefits'!AA62</f>
        <v>434595.47380156256</v>
      </c>
      <c r="AA24" s="29">
        <f>'Env &amp; Comm Benefits'!AB62</f>
        <v>448488.29093269934</v>
      </c>
      <c r="AB24" s="29">
        <f>'Env &amp; Comm Benefits'!AC62</f>
        <v>462825.22306151636</v>
      </c>
      <c r="AC24" s="29">
        <f>'Env &amp; Comm Benefits'!AD62</f>
        <v>477620.46731803415</v>
      </c>
      <c r="AD24" s="29">
        <f>'Env &amp; Comm Benefits'!AE62</f>
        <v>492888.67467531393</v>
      </c>
      <c r="AE24" s="29">
        <f>'Env &amp; Comm Benefits'!AF62</f>
        <v>508644.96445756598</v>
      </c>
      <c r="AF24" s="29">
        <f>'Env &amp; Comm Benefits'!AG62</f>
        <v>524904.9393120422</v>
      </c>
      <c r="AG24" s="29">
        <f>'Env &amp; Comm Benefits'!AH62</f>
        <v>541684.7006595392</v>
      </c>
      <c r="AH24" s="29">
        <f>'Env &amp; Comm Benefits'!AI62</f>
        <v>559000.86463881144</v>
      </c>
      <c r="AI24" s="29">
        <f>'Env &amp; Comm Benefits'!AJ62</f>
        <v>0</v>
      </c>
      <c r="AJ24" s="29">
        <f>'Env &amp; Comm Benefits'!AK62</f>
        <v>0</v>
      </c>
      <c r="AK24" s="29">
        <f>'Env &amp; Comm Benefits'!AL62</f>
        <v>0</v>
      </c>
      <c r="AL24" s="29">
        <f>'Env &amp; Comm Benefits'!AM62</f>
        <v>0</v>
      </c>
      <c r="AM24" s="29">
        <f>'Env &amp; Comm Benefits'!AN62</f>
        <v>0</v>
      </c>
      <c r="AN24" s="29">
        <f>'Env &amp; Comm Benefits'!AO62</f>
        <v>0</v>
      </c>
      <c r="AO24" s="29">
        <f>'Env &amp; Comm Benefits'!AP62</f>
        <v>0</v>
      </c>
      <c r="AP24" s="29">
        <f>'Env &amp; Comm Benefits'!AQ62</f>
        <v>0</v>
      </c>
      <c r="AQ24" s="29">
        <f>'Env &amp; Comm Benefits'!AR62</f>
        <v>0</v>
      </c>
      <c r="AR24" s="29">
        <f>'Env &amp; Comm Benefits'!AS62</f>
        <v>0</v>
      </c>
      <c r="AS24" s="29">
        <f>'Env &amp; Comm Benefits'!AT62</f>
        <v>0</v>
      </c>
      <c r="AT24" s="29">
        <f>'Env &amp; Comm Benefits'!AU62</f>
        <v>0</v>
      </c>
    </row>
    <row r="25" spans="1:46" s="1" customFormat="1" x14ac:dyDescent="0.35">
      <c r="A25"/>
      <c r="B25" t="s">
        <v>57</v>
      </c>
      <c r="C25" s="7" t="s">
        <v>50</v>
      </c>
      <c r="D25" s="177">
        <f>SUMIF(F25:AT25,"&lt;&gt;#n/a")</f>
        <v>2446253.7905109664</v>
      </c>
      <c r="E25" s="177"/>
      <c r="F25" s="29">
        <f>'Env &amp; Comm Benefits'!G64</f>
        <v>0</v>
      </c>
      <c r="G25" s="29">
        <f>'Env &amp; Comm Benefits'!H64</f>
        <v>0</v>
      </c>
      <c r="H25" s="29">
        <f>'Env &amp; Comm Benefits'!I64</f>
        <v>0</v>
      </c>
      <c r="I25" s="29">
        <f>'Env &amp; Comm Benefits'!J64</f>
        <v>0</v>
      </c>
      <c r="J25" s="29">
        <f>'Env &amp; Comm Benefits'!K64</f>
        <v>0</v>
      </c>
      <c r="K25" s="29">
        <f>'Env &amp; Comm Benefits'!L64</f>
        <v>0</v>
      </c>
      <c r="L25" s="29">
        <f>'Env &amp; Comm Benefits'!M64</f>
        <v>0</v>
      </c>
      <c r="M25" s="29">
        <f>'Env &amp; Comm Benefits'!N64</f>
        <v>0</v>
      </c>
      <c r="N25" s="29">
        <f>'Env &amp; Comm Benefits'!O64</f>
        <v>0</v>
      </c>
      <c r="O25" s="29">
        <f>'Env &amp; Comm Benefits'!P64</f>
        <v>15140.31783027538</v>
      </c>
      <c r="P25" s="29">
        <f>'Env &amp; Comm Benefits'!Q64</f>
        <v>30280.635660550761</v>
      </c>
      <c r="Q25" s="29">
        <f>'Env &amp; Comm Benefits'!R64</f>
        <v>45420.953490826141</v>
      </c>
      <c r="R25" s="29">
        <f>'Env &amp; Comm Benefits'!S64</f>
        <v>60561.271321101522</v>
      </c>
      <c r="S25" s="29">
        <f>'Env &amp; Comm Benefits'!T64</f>
        <v>75701.589151376902</v>
      </c>
      <c r="T25" s="29">
        <f>'Env &amp; Comm Benefits'!U64</f>
        <v>117605.52843182402</v>
      </c>
      <c r="U25" s="29">
        <f>'Env &amp; Comm Benefits'!V64</f>
        <v>121365.05239976129</v>
      </c>
      <c r="V25" s="29">
        <f>'Env &amp; Comm Benefits'!W64</f>
        <v>125244.75796676085</v>
      </c>
      <c r="W25" s="29">
        <f>'Env &amp; Comm Benefits'!X64</f>
        <v>129248.48700665448</v>
      </c>
      <c r="X25" s="29">
        <f>'Env &amp; Comm Benefits'!Y64</f>
        <v>133380.20420737122</v>
      </c>
      <c r="Y25" s="29">
        <f>'Env &amp; Comm Benefits'!Z64</f>
        <v>137644.00099696408</v>
      </c>
      <c r="Z25" s="29">
        <f>'Env &amp; Comm Benefits'!AA64</f>
        <v>142044.0995951423</v>
      </c>
      <c r="AA25" s="29">
        <f>'Env &amp; Comm Benefits'!AB64</f>
        <v>146584.85719431911</v>
      </c>
      <c r="AB25" s="29">
        <f>'Env &amp; Comm Benefits'!AC64</f>
        <v>151270.77027431666</v>
      </c>
      <c r="AC25" s="29">
        <f>'Env &amp; Comm Benefits'!AD64</f>
        <v>156106.4790549996</v>
      </c>
      <c r="AD25" s="29">
        <f>'Env &amp; Comm Benefits'!AE64</f>
        <v>161096.77209124735</v>
      </c>
      <c r="AE25" s="29">
        <f>'Env &amp; Comm Benefits'!AF64</f>
        <v>166246.591014815</v>
      </c>
      <c r="AF25" s="29">
        <f>'Env &amp; Comm Benefits'!AG64</f>
        <v>171561.03542777803</v>
      </c>
      <c r="AG25" s="29">
        <f>'Env &amp; Comm Benefits'!AH64</f>
        <v>177045.36795240731</v>
      </c>
      <c r="AH25" s="29">
        <f>'Env &amp; Comm Benefits'!AI64</f>
        <v>182705.0194424747</v>
      </c>
      <c r="AI25" s="29">
        <f>'Env &amp; Comm Benefits'!AJ64</f>
        <v>0</v>
      </c>
      <c r="AJ25" s="29">
        <f>'Env &amp; Comm Benefits'!AK64</f>
        <v>0</v>
      </c>
      <c r="AK25" s="29">
        <f>'Env &amp; Comm Benefits'!AL64</f>
        <v>0</v>
      </c>
      <c r="AL25" s="29">
        <f>'Env &amp; Comm Benefits'!AM64</f>
        <v>0</v>
      </c>
      <c r="AM25" s="29">
        <f>'Env &amp; Comm Benefits'!AN64</f>
        <v>0</v>
      </c>
      <c r="AN25" s="29">
        <f>'Env &amp; Comm Benefits'!AO64</f>
        <v>0</v>
      </c>
      <c r="AO25" s="29">
        <f>'Env &amp; Comm Benefits'!AP64</f>
        <v>0</v>
      </c>
      <c r="AP25" s="29">
        <f>'Env &amp; Comm Benefits'!AQ64</f>
        <v>0</v>
      </c>
      <c r="AQ25" s="29">
        <f>'Env &amp; Comm Benefits'!AR64</f>
        <v>0</v>
      </c>
      <c r="AR25" s="29">
        <f>'Env &amp; Comm Benefits'!AS64</f>
        <v>0</v>
      </c>
      <c r="AS25" s="29">
        <f>'Env &amp; Comm Benefits'!AT64</f>
        <v>0</v>
      </c>
      <c r="AT25" s="29">
        <f>'Env &amp; Comm Benefits'!AU64</f>
        <v>0</v>
      </c>
    </row>
    <row r="26" spans="1:46" s="1" customFormat="1" x14ac:dyDescent="0.35">
      <c r="B26" s="50" t="s">
        <v>58</v>
      </c>
      <c r="C26" s="48"/>
      <c r="D26" s="792">
        <f>SUM(D27:D28)</f>
        <v>8440547.1269025486</v>
      </c>
      <c r="E26" s="792"/>
      <c r="F26" s="522"/>
      <c r="G26" s="522"/>
      <c r="H26" s="791"/>
      <c r="I26" s="791"/>
      <c r="J26" s="791"/>
      <c r="K26" s="791"/>
      <c r="L26" s="791"/>
      <c r="M26" s="791"/>
      <c r="N26" s="791"/>
      <c r="O26" s="791"/>
      <c r="P26" s="791"/>
      <c r="Q26" s="791"/>
      <c r="R26" s="791"/>
      <c r="S26" s="791"/>
      <c r="T26" s="791"/>
      <c r="U26" s="791"/>
      <c r="V26" s="791"/>
      <c r="W26" s="791"/>
      <c r="X26" s="791"/>
      <c r="Y26" s="791"/>
      <c r="Z26" s="791"/>
      <c r="AA26" s="791"/>
      <c r="AB26" s="791"/>
      <c r="AC26" s="791"/>
      <c r="AD26" s="791"/>
      <c r="AE26" s="791"/>
      <c r="AF26" s="791"/>
      <c r="AG26" s="791"/>
      <c r="AH26" s="791"/>
      <c r="AI26" s="791"/>
      <c r="AJ26" s="296"/>
      <c r="AK26" s="296"/>
      <c r="AL26" s="296"/>
      <c r="AM26" s="296"/>
      <c r="AN26" s="296"/>
      <c r="AO26" s="296"/>
      <c r="AP26" s="296"/>
      <c r="AQ26" s="296"/>
      <c r="AR26" s="296"/>
      <c r="AS26" s="296"/>
      <c r="AT26" s="296"/>
    </row>
    <row r="27" spans="1:46" s="1" customFormat="1" x14ac:dyDescent="0.35">
      <c r="A27"/>
      <c r="B27" t="s">
        <v>59</v>
      </c>
      <c r="C27" s="7" t="s">
        <v>50</v>
      </c>
      <c r="D27" s="177">
        <f>SUMIF(F27:AT27,"&lt;&gt;#n/a")</f>
        <v>-767463.39198291849</v>
      </c>
      <c r="E27" s="177"/>
      <c r="F27" s="29">
        <f>'O&amp;M Costs'!F23</f>
        <v>0</v>
      </c>
      <c r="G27" s="29">
        <f>'O&amp;M Costs'!G23</f>
        <v>0</v>
      </c>
      <c r="H27" s="29">
        <f>'O&amp;M Costs'!H23</f>
        <v>0</v>
      </c>
      <c r="I27" s="29">
        <f>'O&amp;M Costs'!I23</f>
        <v>0</v>
      </c>
      <c r="J27" s="29">
        <f>'O&amp;M Costs'!J23</f>
        <v>0</v>
      </c>
      <c r="K27" s="29">
        <f>'O&amp;M Costs'!K23</f>
        <v>0</v>
      </c>
      <c r="L27" s="29">
        <f>'O&amp;M Costs'!L23</f>
        <v>0</v>
      </c>
      <c r="M27" s="29">
        <f>'O&amp;M Costs'!M23</f>
        <v>0</v>
      </c>
      <c r="N27" s="29">
        <f>'O&amp;M Costs'!N23</f>
        <v>0</v>
      </c>
      <c r="O27" s="29">
        <f>'O&amp;M Costs'!O23</f>
        <v>0</v>
      </c>
      <c r="P27" s="29">
        <f>'O&amp;M Costs'!P23</f>
        <v>-22493.99733950162</v>
      </c>
      <c r="Q27" s="29">
        <f>'O&amp;M Costs'!Q23</f>
        <v>-22493.99733950162</v>
      </c>
      <c r="R27" s="29">
        <f>'O&amp;M Costs'!R23</f>
        <v>-54376.257576912976</v>
      </c>
      <c r="S27" s="29">
        <f>'O&amp;M Costs'!S23</f>
        <v>-22493.99733950162</v>
      </c>
      <c r="T27" s="29">
        <f>'O&amp;M Costs'!T23</f>
        <v>-22493.99733950162</v>
      </c>
      <c r="U27" s="29">
        <f>'O&amp;M Costs'!U23</f>
        <v>-96885.937893461436</v>
      </c>
      <c r="V27" s="29">
        <f>'O&amp;M Costs'!V23</f>
        <v>-22493.99733950162</v>
      </c>
      <c r="W27" s="29">
        <f>'O&amp;M Costs'!W23</f>
        <v>-22493.99733950162</v>
      </c>
      <c r="X27" s="29">
        <f>'O&amp;M Costs'!X23</f>
        <v>-65003.677656050095</v>
      </c>
      <c r="Y27" s="29">
        <f>'O&amp;M Costs'!Y23</f>
        <v>-22493.99733950162</v>
      </c>
      <c r="Z27" s="29">
        <f>'O&amp;M Costs'!Z23</f>
        <v>-22493.99733950162</v>
      </c>
      <c r="AA27" s="29">
        <f>'O&amp;M Costs'!AA23</f>
        <v>-96885.937893461436</v>
      </c>
      <c r="AB27" s="29">
        <f>'O&amp;M Costs'!AB23</f>
        <v>-22493.99733950162</v>
      </c>
      <c r="AC27" s="29">
        <f>'O&amp;M Costs'!AC23</f>
        <v>-22493.99733950162</v>
      </c>
      <c r="AD27" s="29">
        <f>'O&amp;M Costs'!AD23</f>
        <v>-54376.257576912976</v>
      </c>
      <c r="AE27" s="29">
        <f>'O&amp;M Costs'!AE23</f>
        <v>-22493.99733950162</v>
      </c>
      <c r="AF27" s="29">
        <f>'O&amp;M Costs'!AF23</f>
        <v>-22493.99733950162</v>
      </c>
      <c r="AG27" s="29">
        <f>'O&amp;M Costs'!AG23</f>
        <v>-107513.35797259855</v>
      </c>
      <c r="AH27" s="29">
        <f>'O&amp;M Costs'!AH23</f>
        <v>-22493.99733950162</v>
      </c>
      <c r="AI27" s="29">
        <f>'O&amp;M Costs'!AI23</f>
        <v>0</v>
      </c>
      <c r="AJ27" s="29">
        <f>'O&amp;M Costs'!AJ23</f>
        <v>0</v>
      </c>
      <c r="AK27" s="29">
        <f>'O&amp;M Costs'!AK23</f>
        <v>0</v>
      </c>
      <c r="AL27" s="29">
        <f>'O&amp;M Costs'!AL23</f>
        <v>0</v>
      </c>
      <c r="AM27" s="29">
        <f>'O&amp;M Costs'!AM23</f>
        <v>0</v>
      </c>
      <c r="AN27" s="29">
        <f>'O&amp;M Costs'!AN23</f>
        <v>0</v>
      </c>
      <c r="AO27" s="29">
        <f>'O&amp;M Costs'!AO23</f>
        <v>0</v>
      </c>
      <c r="AP27" s="29">
        <f>'O&amp;M Costs'!AP23</f>
        <v>0</v>
      </c>
      <c r="AQ27" s="29">
        <f>'O&amp;M Costs'!AQ23</f>
        <v>0</v>
      </c>
      <c r="AR27" s="29">
        <f>'O&amp;M Costs'!AR23</f>
        <v>0</v>
      </c>
      <c r="AS27" s="29">
        <f>'O&amp;M Costs'!AS23</f>
        <v>0</v>
      </c>
      <c r="AT27" s="29">
        <f>'O&amp;M Costs'!AT23</f>
        <v>0</v>
      </c>
    </row>
    <row r="28" spans="1:46" s="1" customFormat="1" ht="15" customHeight="1" x14ac:dyDescent="0.35">
      <c r="A28" s="49"/>
      <c r="B28" t="s">
        <v>60</v>
      </c>
      <c r="C28" s="7" t="s">
        <v>50</v>
      </c>
      <c r="D28" s="177">
        <f>SUMIF(F28:AT28,"&lt;&gt;#n/a")</f>
        <v>9208010.5188854672</v>
      </c>
      <c r="E28" s="177"/>
      <c r="F28" s="29">
        <f>'Residual Value Benefits '!F35</f>
        <v>0</v>
      </c>
      <c r="G28" s="29">
        <f>'Residual Value Benefits '!G35</f>
        <v>0</v>
      </c>
      <c r="H28" s="29">
        <f>'Residual Value Benefits '!H35</f>
        <v>0</v>
      </c>
      <c r="I28" s="29">
        <f>'Residual Value Benefits '!I35</f>
        <v>0</v>
      </c>
      <c r="J28" s="29">
        <f>'Residual Value Benefits '!J35</f>
        <v>0</v>
      </c>
      <c r="K28" s="29">
        <f>'Residual Value Benefits '!K35</f>
        <v>0</v>
      </c>
      <c r="L28" s="29">
        <f>'Residual Value Benefits '!L35</f>
        <v>0</v>
      </c>
      <c r="M28" s="29">
        <f>'Residual Value Benefits '!M35</f>
        <v>0</v>
      </c>
      <c r="N28" s="29">
        <f>'Residual Value Benefits '!N35</f>
        <v>0</v>
      </c>
      <c r="O28" s="29">
        <f>'Residual Value Benefits '!O35</f>
        <v>0</v>
      </c>
      <c r="P28" s="29">
        <f>'Residual Value Benefits '!P35</f>
        <v>0</v>
      </c>
      <c r="Q28" s="29">
        <f>'Residual Value Benefits '!Q35</f>
        <v>0</v>
      </c>
      <c r="R28" s="29">
        <f>'Residual Value Benefits '!R35</f>
        <v>0</v>
      </c>
      <c r="S28" s="29">
        <f>'Residual Value Benefits '!S35</f>
        <v>0</v>
      </c>
      <c r="T28" s="29">
        <f>'Residual Value Benefits '!T35</f>
        <v>0</v>
      </c>
      <c r="U28" s="29">
        <f>'Residual Value Benefits '!U35</f>
        <v>0</v>
      </c>
      <c r="V28" s="29">
        <f>'Residual Value Benefits '!V35</f>
        <v>0</v>
      </c>
      <c r="W28" s="29">
        <f>'Residual Value Benefits '!W35</f>
        <v>0</v>
      </c>
      <c r="X28" s="29">
        <f>'Residual Value Benefits '!X35</f>
        <v>0</v>
      </c>
      <c r="Y28" s="29">
        <f>'Residual Value Benefits '!Y35</f>
        <v>0</v>
      </c>
      <c r="Z28" s="29">
        <f>'Residual Value Benefits '!Z35</f>
        <v>0</v>
      </c>
      <c r="AA28" s="29">
        <f>'Residual Value Benefits '!AA35</f>
        <v>0</v>
      </c>
      <c r="AB28" s="29">
        <f>'Residual Value Benefits '!AB35</f>
        <v>0</v>
      </c>
      <c r="AC28" s="29">
        <f>'Residual Value Benefits '!AC35</f>
        <v>0</v>
      </c>
      <c r="AD28" s="29">
        <f>'Residual Value Benefits '!AD35</f>
        <v>0</v>
      </c>
      <c r="AE28" s="29">
        <f>'Residual Value Benefits '!AE35</f>
        <v>0</v>
      </c>
      <c r="AF28" s="29">
        <f>'Residual Value Benefits '!AF35</f>
        <v>0</v>
      </c>
      <c r="AG28" s="29">
        <f>'Residual Value Benefits '!AG35</f>
        <v>0</v>
      </c>
      <c r="AH28" s="29">
        <f>'Residual Value Benefits '!AH35</f>
        <v>9208010.5188854672</v>
      </c>
      <c r="AI28" s="29">
        <f>'Residual Value Benefits '!AI35</f>
        <v>0</v>
      </c>
      <c r="AJ28" s="29">
        <f>'Residual Value Benefits '!AJ35</f>
        <v>0</v>
      </c>
      <c r="AK28" s="29">
        <f>'Residual Value Benefits '!AK35</f>
        <v>0</v>
      </c>
      <c r="AL28" s="29">
        <f>'Residual Value Benefits '!AL35</f>
        <v>0</v>
      </c>
      <c r="AM28" s="29">
        <f>'Residual Value Benefits '!AM35</f>
        <v>0</v>
      </c>
      <c r="AN28" s="29">
        <f>'Residual Value Benefits '!AN35</f>
        <v>0</v>
      </c>
      <c r="AO28" s="29">
        <f>'Residual Value Benefits '!AO35</f>
        <v>0</v>
      </c>
      <c r="AP28" s="29">
        <f>'Residual Value Benefits '!AP35</f>
        <v>0</v>
      </c>
      <c r="AQ28" s="29">
        <f>'Residual Value Benefits '!AQ35</f>
        <v>0</v>
      </c>
      <c r="AR28" s="29">
        <f>'Residual Value Benefits '!AR35</f>
        <v>0</v>
      </c>
      <c r="AS28" s="29">
        <f>'Residual Value Benefits '!AS35</f>
        <v>0</v>
      </c>
      <c r="AT28" s="29">
        <f>'Residual Value Benefits '!AT35</f>
        <v>0</v>
      </c>
    </row>
    <row r="29" spans="1:46" s="1" customFormat="1" x14ac:dyDescent="0.35">
      <c r="A29"/>
      <c r="B29" s="8" t="s">
        <v>61</v>
      </c>
      <c r="C29" s="17" t="s">
        <v>50</v>
      </c>
      <c r="D29" s="178">
        <f>SUMIF(F29:AT29,"&lt;&gt;#n/a")</f>
        <v>435329563.99779505</v>
      </c>
      <c r="E29" s="178"/>
      <c r="F29" s="179">
        <f t="shared" ref="F29:AT29" si="4">SUMIF(F16:F28,"&lt;&gt;#n/a")*F11</f>
        <v>0</v>
      </c>
      <c r="G29" s="179">
        <f t="shared" si="4"/>
        <v>0</v>
      </c>
      <c r="H29" s="179">
        <f t="shared" si="4"/>
        <v>0</v>
      </c>
      <c r="I29" s="179">
        <f t="shared" si="4"/>
        <v>0</v>
      </c>
      <c r="J29" s="179">
        <f t="shared" si="4"/>
        <v>0</v>
      </c>
      <c r="K29" s="179">
        <f t="shared" si="4"/>
        <v>0</v>
      </c>
      <c r="L29" s="179">
        <f t="shared" si="4"/>
        <v>0</v>
      </c>
      <c r="M29" s="179">
        <f t="shared" si="4"/>
        <v>0</v>
      </c>
      <c r="N29" s="179">
        <f t="shared" si="4"/>
        <v>0</v>
      </c>
      <c r="O29" s="179">
        <f t="shared" si="4"/>
        <v>2663279.8516662559</v>
      </c>
      <c r="P29" s="179">
        <f t="shared" si="4"/>
        <v>5298475.0688902214</v>
      </c>
      <c r="Q29" s="179">
        <f t="shared" si="4"/>
        <v>7950573.6463508839</v>
      </c>
      <c r="R29" s="179">
        <f t="shared" si="4"/>
        <v>10565199.326471336</v>
      </c>
      <c r="S29" s="179">
        <f t="shared" si="4"/>
        <v>13237998.889963822</v>
      </c>
      <c r="T29" s="179">
        <f t="shared" si="4"/>
        <v>20556513.209308472</v>
      </c>
      <c r="U29" s="179">
        <f t="shared" si="4"/>
        <v>21117567.976385746</v>
      </c>
      <c r="V29" s="179">
        <f t="shared" si="4"/>
        <v>21847003.800765812</v>
      </c>
      <c r="W29" s="179">
        <f t="shared" si="4"/>
        <v>22540752.650384054</v>
      </c>
      <c r="X29" s="179">
        <f t="shared" si="4"/>
        <v>23213997.754901424</v>
      </c>
      <c r="Y29" s="179">
        <f t="shared" si="4"/>
        <v>23994966.148268051</v>
      </c>
      <c r="Z29" s="179">
        <f t="shared" si="4"/>
        <v>24756848.920391578</v>
      </c>
      <c r="AA29" s="179">
        <f t="shared" si="4"/>
        <v>25468506.781838901</v>
      </c>
      <c r="AB29" s="179">
        <f t="shared" si="4"/>
        <v>26353882.08937845</v>
      </c>
      <c r="AC29" s="179">
        <f t="shared" si="4"/>
        <v>27190589.868083365</v>
      </c>
      <c r="AD29" s="179">
        <f t="shared" si="4"/>
        <v>28021955.727659438</v>
      </c>
      <c r="AE29" s="179">
        <f t="shared" si="4"/>
        <v>28944468.256338969</v>
      </c>
      <c r="AF29" s="179">
        <f t="shared" si="4"/>
        <v>29863349.17976366</v>
      </c>
      <c r="AG29" s="179">
        <f t="shared" si="4"/>
        <v>30732816.877494566</v>
      </c>
      <c r="AH29" s="179">
        <f t="shared" si="4"/>
        <v>41010817.973489992</v>
      </c>
      <c r="AI29" s="179">
        <f t="shared" si="4"/>
        <v>0</v>
      </c>
      <c r="AJ29" s="179">
        <f t="shared" si="4"/>
        <v>0</v>
      </c>
      <c r="AK29" s="179">
        <f t="shared" si="4"/>
        <v>0</v>
      </c>
      <c r="AL29" s="179">
        <f t="shared" si="4"/>
        <v>0</v>
      </c>
      <c r="AM29" s="179">
        <f t="shared" si="4"/>
        <v>0</v>
      </c>
      <c r="AN29" s="179">
        <f t="shared" si="4"/>
        <v>0</v>
      </c>
      <c r="AO29" s="179">
        <f t="shared" si="4"/>
        <v>0</v>
      </c>
      <c r="AP29" s="179">
        <f t="shared" si="4"/>
        <v>0</v>
      </c>
      <c r="AQ29" s="179">
        <f t="shared" si="4"/>
        <v>0</v>
      </c>
      <c r="AR29" s="179">
        <f t="shared" si="4"/>
        <v>0</v>
      </c>
      <c r="AS29" s="179">
        <f t="shared" si="4"/>
        <v>0</v>
      </c>
      <c r="AT29" s="179">
        <f t="shared" si="4"/>
        <v>0</v>
      </c>
    </row>
    <row r="30" spans="1:46" s="1" customFormat="1" ht="4.4000000000000004" customHeight="1" thickBot="1" x14ac:dyDescent="0.4">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row>
    <row r="31" spans="1:46" s="1" customFormat="1" x14ac:dyDescent="0.35">
      <c r="A31"/>
      <c r="B31" s="8"/>
      <c r="C31" s="17"/>
      <c r="D31" s="24"/>
      <c r="E31" s="24"/>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row>
    <row r="32" spans="1:46" s="1" customFormat="1" x14ac:dyDescent="0.35">
      <c r="A32" s="659" t="s">
        <v>62</v>
      </c>
      <c r="B32" s="39"/>
      <c r="C32" s="39"/>
      <c r="D32" s="40"/>
      <c r="E32" s="40"/>
      <c r="F32" s="40"/>
      <c r="G32" s="41"/>
      <c r="H32" s="41"/>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row>
    <row r="33" spans="1:46" s="1" customFormat="1" x14ac:dyDescent="0.35">
      <c r="B33" s="50">
        <v>341.8</v>
      </c>
      <c r="C33" s="48"/>
      <c r="D33" s="792">
        <f>SUM(D34:D36)</f>
        <v>94809557.619061947</v>
      </c>
      <c r="E33" s="792"/>
      <c r="F33" s="791"/>
      <c r="G33" s="791"/>
      <c r="H33" s="791"/>
      <c r="I33" s="791"/>
      <c r="J33" s="791"/>
      <c r="K33" s="791"/>
      <c r="L33" s="791"/>
      <c r="M33" s="791"/>
      <c r="N33" s="791"/>
      <c r="O33" s="791"/>
      <c r="P33" s="791"/>
      <c r="Q33" s="791"/>
      <c r="R33" s="791"/>
      <c r="S33" s="791"/>
      <c r="T33" s="791"/>
      <c r="U33" s="791"/>
      <c r="V33" s="791"/>
      <c r="W33" s="791"/>
      <c r="X33" s="791"/>
      <c r="Y33" s="791"/>
      <c r="Z33" s="791"/>
      <c r="AA33" s="791"/>
      <c r="AB33" s="791"/>
      <c r="AC33" s="791"/>
      <c r="AD33" s="791"/>
      <c r="AE33" s="791"/>
      <c r="AF33" s="791"/>
      <c r="AG33" s="791"/>
      <c r="AH33" s="791"/>
      <c r="AI33" s="791"/>
      <c r="AJ33" s="296"/>
      <c r="AK33" s="296"/>
      <c r="AL33" s="296"/>
      <c r="AM33" s="296"/>
      <c r="AN33" s="296"/>
      <c r="AO33" s="296"/>
      <c r="AP33" s="296"/>
      <c r="AQ33" s="296"/>
      <c r="AR33" s="296"/>
      <c r="AS33" s="296"/>
      <c r="AT33" s="296"/>
    </row>
    <row r="34" spans="1:46" s="1" customFormat="1" x14ac:dyDescent="0.35">
      <c r="A34"/>
      <c r="B34" t="s">
        <v>49</v>
      </c>
      <c r="C34" s="7" t="s">
        <v>50</v>
      </c>
      <c r="D34" s="177">
        <f>SUMIF(F34:AT34,"&lt;&gt;#n/a")</f>
        <v>34910554.398625948</v>
      </c>
      <c r="E34" s="73">
        <f>$E$46*D34/$D$46</f>
        <v>0.3086272583019784</v>
      </c>
      <c r="F34" s="29">
        <f t="shared" ref="F34:AT34" si="5">F17*F$10</f>
        <v>0</v>
      </c>
      <c r="G34" s="29">
        <f t="shared" si="5"/>
        <v>0</v>
      </c>
      <c r="H34" s="29">
        <f t="shared" si="5"/>
        <v>0</v>
      </c>
      <c r="I34" s="29">
        <f t="shared" si="5"/>
        <v>0</v>
      </c>
      <c r="J34" s="29">
        <f t="shared" si="5"/>
        <v>0</v>
      </c>
      <c r="K34" s="29">
        <f t="shared" si="5"/>
        <v>0</v>
      </c>
      <c r="L34" s="29">
        <f t="shared" si="5"/>
        <v>0</v>
      </c>
      <c r="M34" s="29">
        <f t="shared" si="5"/>
        <v>0</v>
      </c>
      <c r="N34" s="29">
        <f t="shared" si="5"/>
        <v>0</v>
      </c>
      <c r="O34" s="29">
        <f t="shared" si="5"/>
        <v>448476.45495193661</v>
      </c>
      <c r="P34" s="29">
        <f t="shared" si="5"/>
        <v>838273.74757371761</v>
      </c>
      <c r="Q34" s="29">
        <f t="shared" si="5"/>
        <v>1175150.1134210974</v>
      </c>
      <c r="R34" s="29">
        <f t="shared" si="5"/>
        <v>1464361.5120512107</v>
      </c>
      <c r="S34" s="29">
        <f t="shared" si="5"/>
        <v>1710702.7009944073</v>
      </c>
      <c r="T34" s="29">
        <f t="shared" si="5"/>
        <v>2483782.1669025077</v>
      </c>
      <c r="U34" s="29">
        <f t="shared" si="5"/>
        <v>2395497.0314367609</v>
      </c>
      <c r="V34" s="29">
        <f t="shared" si="5"/>
        <v>2310349.9590620883</v>
      </c>
      <c r="W34" s="29">
        <f t="shared" si="5"/>
        <v>2228229.4084650758</v>
      </c>
      <c r="X34" s="29">
        <f t="shared" si="5"/>
        <v>2149027.8030278231</v>
      </c>
      <c r="Y34" s="29">
        <f t="shared" si="5"/>
        <v>2072641.3899042583</v>
      </c>
      <c r="Z34" s="29">
        <f t="shared" si="5"/>
        <v>1998970.1041055527</v>
      </c>
      <c r="AA34" s="29">
        <f t="shared" si="5"/>
        <v>1927917.4374165838</v>
      </c>
      <c r="AB34" s="29">
        <f t="shared" si="5"/>
        <v>1859390.3119717012</v>
      </c>
      <c r="AC34" s="29">
        <f t="shared" si="5"/>
        <v>1793298.9583241991</v>
      </c>
      <c r="AD34" s="29">
        <f t="shared" si="5"/>
        <v>1729556.7978497695</v>
      </c>
      <c r="AE34" s="29">
        <f t="shared" si="5"/>
        <v>1668080.3293298737</v>
      </c>
      <c r="AF34" s="29">
        <f t="shared" si="5"/>
        <v>1608789.0195664722</v>
      </c>
      <c r="AG34" s="29">
        <f t="shared" si="5"/>
        <v>1551605.1978848171</v>
      </c>
      <c r="AH34" s="29">
        <f t="shared" si="5"/>
        <v>1496453.954386099</v>
      </c>
      <c r="AI34" s="29">
        <f t="shared" si="5"/>
        <v>0</v>
      </c>
      <c r="AJ34" s="29">
        <f t="shared" si="5"/>
        <v>0</v>
      </c>
      <c r="AK34" s="29">
        <f t="shared" si="5"/>
        <v>0</v>
      </c>
      <c r="AL34" s="29">
        <f t="shared" si="5"/>
        <v>0</v>
      </c>
      <c r="AM34" s="29">
        <f t="shared" si="5"/>
        <v>0</v>
      </c>
      <c r="AN34" s="29">
        <f t="shared" si="5"/>
        <v>0</v>
      </c>
      <c r="AO34" s="29">
        <f t="shared" si="5"/>
        <v>0</v>
      </c>
      <c r="AP34" s="29">
        <f t="shared" si="5"/>
        <v>0</v>
      </c>
      <c r="AQ34" s="29">
        <f t="shared" si="5"/>
        <v>0</v>
      </c>
      <c r="AR34" s="29">
        <f t="shared" si="5"/>
        <v>0</v>
      </c>
      <c r="AS34" s="29">
        <f t="shared" si="5"/>
        <v>0</v>
      </c>
      <c r="AT34" s="29">
        <f t="shared" si="5"/>
        <v>0</v>
      </c>
    </row>
    <row r="35" spans="1:46" s="1" customFormat="1" x14ac:dyDescent="0.35">
      <c r="A35"/>
      <c r="B35" t="s">
        <v>51</v>
      </c>
      <c r="C35" s="7" t="s">
        <v>50</v>
      </c>
      <c r="D35" s="177">
        <f>SUMIF(F35:AT35,"&lt;&gt;#n/a")</f>
        <v>52807093.016392551</v>
      </c>
      <c r="E35" s="73">
        <f>$E$46*D35/$D$46</f>
        <v>0.46684186536975331</v>
      </c>
      <c r="F35" s="29">
        <f t="shared" ref="F35:AT35" si="6">F18*F$10</f>
        <v>0</v>
      </c>
      <c r="G35" s="29">
        <f t="shared" si="6"/>
        <v>0</v>
      </c>
      <c r="H35" s="29">
        <f t="shared" si="6"/>
        <v>0</v>
      </c>
      <c r="I35" s="29">
        <f t="shared" si="6"/>
        <v>0</v>
      </c>
      <c r="J35" s="29">
        <f t="shared" si="6"/>
        <v>0</v>
      </c>
      <c r="K35" s="29">
        <f t="shared" si="6"/>
        <v>0</v>
      </c>
      <c r="L35" s="29">
        <f t="shared" si="6"/>
        <v>0</v>
      </c>
      <c r="M35" s="29">
        <f t="shared" si="6"/>
        <v>0</v>
      </c>
      <c r="N35" s="29">
        <f t="shared" si="6"/>
        <v>0</v>
      </c>
      <c r="O35" s="29">
        <f t="shared" si="6"/>
        <v>678383.32218640239</v>
      </c>
      <c r="P35" s="29">
        <f t="shared" si="6"/>
        <v>1268006.20969421</v>
      </c>
      <c r="Q35" s="29">
        <f t="shared" si="6"/>
        <v>1777578.7986367433</v>
      </c>
      <c r="R35" s="29">
        <f t="shared" si="6"/>
        <v>2215051.4624756929</v>
      </c>
      <c r="S35" s="29">
        <f t="shared" si="6"/>
        <v>2587676.9421445006</v>
      </c>
      <c r="T35" s="29">
        <f t="shared" si="6"/>
        <v>3757067.6885394864</v>
      </c>
      <c r="U35" s="29">
        <f t="shared" si="6"/>
        <v>3623524.081432295</v>
      </c>
      <c r="V35" s="29">
        <f t="shared" si="6"/>
        <v>3494727.2333610435</v>
      </c>
      <c r="W35" s="29">
        <f t="shared" si="6"/>
        <v>3370508.4224989475</v>
      </c>
      <c r="X35" s="29">
        <f t="shared" si="6"/>
        <v>3250704.9241753258</v>
      </c>
      <c r="Y35" s="29">
        <f t="shared" si="6"/>
        <v>3135159.7977088303</v>
      </c>
      <c r="Z35" s="29">
        <f t="shared" si="6"/>
        <v>3023721.6808176665</v>
      </c>
      <c r="AA35" s="29">
        <f t="shared" si="6"/>
        <v>2916244.5913373912</v>
      </c>
      <c r="AB35" s="29">
        <f t="shared" si="6"/>
        <v>2812587.7359866113</v>
      </c>
      <c r="AC35" s="29">
        <f t="shared" si="6"/>
        <v>2712615.325930004</v>
      </c>
      <c r="AD35" s="29">
        <f t="shared" si="6"/>
        <v>2616196.3988971077</v>
      </c>
      <c r="AE35" s="29">
        <f t="shared" si="6"/>
        <v>2523204.6476238226</v>
      </c>
      <c r="AF35" s="29">
        <f t="shared" si="6"/>
        <v>2433518.2543918989</v>
      </c>
      <c r="AG35" s="29">
        <f t="shared" si="6"/>
        <v>2347019.7314496557</v>
      </c>
      <c r="AH35" s="29">
        <f t="shared" si="6"/>
        <v>2263595.7671049028</v>
      </c>
      <c r="AI35" s="29">
        <f t="shared" si="6"/>
        <v>0</v>
      </c>
      <c r="AJ35" s="29">
        <f t="shared" si="6"/>
        <v>0</v>
      </c>
      <c r="AK35" s="29">
        <f t="shared" si="6"/>
        <v>0</v>
      </c>
      <c r="AL35" s="29">
        <f t="shared" si="6"/>
        <v>0</v>
      </c>
      <c r="AM35" s="29">
        <f t="shared" si="6"/>
        <v>0</v>
      </c>
      <c r="AN35" s="29">
        <f t="shared" si="6"/>
        <v>0</v>
      </c>
      <c r="AO35" s="29">
        <f t="shared" si="6"/>
        <v>0</v>
      </c>
      <c r="AP35" s="29">
        <f t="shared" si="6"/>
        <v>0</v>
      </c>
      <c r="AQ35" s="29">
        <f t="shared" si="6"/>
        <v>0</v>
      </c>
      <c r="AR35" s="29">
        <f t="shared" si="6"/>
        <v>0</v>
      </c>
      <c r="AS35" s="29">
        <f t="shared" si="6"/>
        <v>0</v>
      </c>
      <c r="AT35" s="29">
        <f t="shared" si="6"/>
        <v>0</v>
      </c>
    </row>
    <row r="36" spans="1:46" s="1" customFormat="1" x14ac:dyDescent="0.35">
      <c r="A36"/>
      <c r="B36" t="s">
        <v>52</v>
      </c>
      <c r="C36" s="7" t="s">
        <v>50</v>
      </c>
      <c r="D36" s="177">
        <f>SUMIF(F36:AT36,"&lt;&gt;#n/a")</f>
        <v>7091910.2040434489</v>
      </c>
      <c r="E36" s="73">
        <f>$E$46*D36/$D$46</f>
        <v>6.2696134166345452E-2</v>
      </c>
      <c r="F36" s="29">
        <f t="shared" ref="F36:AT36" si="7">F19*F$10</f>
        <v>0</v>
      </c>
      <c r="G36" s="29">
        <f t="shared" si="7"/>
        <v>0</v>
      </c>
      <c r="H36" s="29">
        <f t="shared" si="7"/>
        <v>0</v>
      </c>
      <c r="I36" s="29">
        <f t="shared" si="7"/>
        <v>0</v>
      </c>
      <c r="J36" s="29">
        <f t="shared" si="7"/>
        <v>0</v>
      </c>
      <c r="K36" s="29">
        <f t="shared" si="7"/>
        <v>0</v>
      </c>
      <c r="L36" s="29">
        <f t="shared" si="7"/>
        <v>0</v>
      </c>
      <c r="M36" s="29">
        <f t="shared" si="7"/>
        <v>0</v>
      </c>
      <c r="N36" s="29">
        <f t="shared" si="7"/>
        <v>0</v>
      </c>
      <c r="O36" s="29">
        <f t="shared" si="7"/>
        <v>91105.821776123688</v>
      </c>
      <c r="P36" s="29">
        <f t="shared" si="7"/>
        <v>170291.25565630593</v>
      </c>
      <c r="Q36" s="29">
        <f t="shared" si="7"/>
        <v>238726.05933126999</v>
      </c>
      <c r="R36" s="29">
        <f t="shared" si="7"/>
        <v>297477.95555298444</v>
      </c>
      <c r="S36" s="29">
        <f t="shared" si="7"/>
        <v>347520.97611329955</v>
      </c>
      <c r="T36" s="29">
        <f t="shared" si="7"/>
        <v>504568.32890543638</v>
      </c>
      <c r="U36" s="29">
        <f t="shared" si="7"/>
        <v>486633.63082170999</v>
      </c>
      <c r="V36" s="29">
        <f t="shared" si="7"/>
        <v>469336.41507075768</v>
      </c>
      <c r="W36" s="29">
        <f t="shared" si="7"/>
        <v>452654.0225744776</v>
      </c>
      <c r="X36" s="29">
        <f t="shared" si="7"/>
        <v>436564.59966347477</v>
      </c>
      <c r="Y36" s="29">
        <f t="shared" si="7"/>
        <v>421047.0694490989</v>
      </c>
      <c r="Z36" s="29">
        <f t="shared" si="7"/>
        <v>406081.10421305557</v>
      </c>
      <c r="AA36" s="29">
        <f t="shared" si="7"/>
        <v>391647.09877841745</v>
      </c>
      <c r="AB36" s="29">
        <f t="shared" si="7"/>
        <v>377726.14482715464</v>
      </c>
      <c r="AC36" s="29">
        <f t="shared" si="7"/>
        <v>364300.00613053708</v>
      </c>
      <c r="AD36" s="29">
        <f t="shared" si="7"/>
        <v>351351.09465996531</v>
      </c>
      <c r="AE36" s="29">
        <f t="shared" si="7"/>
        <v>338862.44754693139</v>
      </c>
      <c r="AF36" s="29">
        <f t="shared" si="7"/>
        <v>326817.70486193092</v>
      </c>
      <c r="AG36" s="29">
        <f t="shared" si="7"/>
        <v>315201.08818321413</v>
      </c>
      <c r="AH36" s="29">
        <f t="shared" si="7"/>
        <v>303997.37992730516</v>
      </c>
      <c r="AI36" s="29">
        <f t="shared" si="7"/>
        <v>0</v>
      </c>
      <c r="AJ36" s="29">
        <f t="shared" si="7"/>
        <v>0</v>
      </c>
      <c r="AK36" s="29">
        <f t="shared" si="7"/>
        <v>0</v>
      </c>
      <c r="AL36" s="29">
        <f t="shared" si="7"/>
        <v>0</v>
      </c>
      <c r="AM36" s="29">
        <f t="shared" si="7"/>
        <v>0</v>
      </c>
      <c r="AN36" s="29">
        <f t="shared" si="7"/>
        <v>0</v>
      </c>
      <c r="AO36" s="29">
        <f t="shared" si="7"/>
        <v>0</v>
      </c>
      <c r="AP36" s="29">
        <f t="shared" si="7"/>
        <v>0</v>
      </c>
      <c r="AQ36" s="29">
        <f t="shared" si="7"/>
        <v>0</v>
      </c>
      <c r="AR36" s="29">
        <f t="shared" si="7"/>
        <v>0</v>
      </c>
      <c r="AS36" s="29">
        <f t="shared" si="7"/>
        <v>0</v>
      </c>
      <c r="AT36" s="29">
        <f t="shared" si="7"/>
        <v>0</v>
      </c>
    </row>
    <row r="37" spans="1:46" s="1" customFormat="1" x14ac:dyDescent="0.35">
      <c r="B37" s="50" t="s">
        <v>18</v>
      </c>
      <c r="C37" s="48"/>
      <c r="D37" s="792">
        <f>SUM(D38:D38)</f>
        <v>13643734.43683872</v>
      </c>
      <c r="E37" s="792"/>
      <c r="F37" s="791"/>
      <c r="G37" s="791"/>
      <c r="H37" s="791"/>
      <c r="I37" s="791"/>
      <c r="J37" s="791"/>
      <c r="K37" s="791"/>
      <c r="L37" s="791"/>
      <c r="M37" s="791"/>
      <c r="N37" s="791"/>
      <c r="O37" s="791"/>
      <c r="P37" s="791"/>
      <c r="Q37" s="791"/>
      <c r="R37" s="791"/>
      <c r="S37" s="791"/>
      <c r="T37" s="791"/>
      <c r="U37" s="791"/>
      <c r="V37" s="791"/>
      <c r="W37" s="791"/>
      <c r="X37" s="791"/>
      <c r="Y37" s="791"/>
      <c r="Z37" s="791"/>
      <c r="AA37" s="791"/>
      <c r="AB37" s="791"/>
      <c r="AC37" s="791"/>
      <c r="AD37" s="791"/>
      <c r="AE37" s="791"/>
      <c r="AF37" s="791"/>
      <c r="AG37" s="791"/>
      <c r="AH37" s="791"/>
      <c r="AI37" s="791"/>
      <c r="AJ37" s="296"/>
      <c r="AK37" s="296"/>
      <c r="AL37" s="296"/>
      <c r="AM37" s="296"/>
      <c r="AN37" s="296"/>
      <c r="AO37" s="296"/>
      <c r="AP37" s="296"/>
      <c r="AQ37" s="296"/>
      <c r="AR37" s="296"/>
      <c r="AS37" s="296"/>
      <c r="AT37" s="296"/>
    </row>
    <row r="38" spans="1:46" s="1" customFormat="1" x14ac:dyDescent="0.35">
      <c r="A38"/>
      <c r="B38" t="s">
        <v>53</v>
      </c>
      <c r="C38" s="7" t="s">
        <v>50</v>
      </c>
      <c r="D38" s="177">
        <f>SUMIF(F38:AT38,"&lt;&gt;#n/a")</f>
        <v>13643734.43683872</v>
      </c>
      <c r="E38" s="73">
        <f>$E$46*D38/$D$46</f>
        <v>0.12061763053546798</v>
      </c>
      <c r="F38" s="29">
        <f t="shared" ref="F38:AT38" si="8">F21*F$10</f>
        <v>0</v>
      </c>
      <c r="G38" s="29">
        <f t="shared" si="8"/>
        <v>0</v>
      </c>
      <c r="H38" s="29">
        <f t="shared" si="8"/>
        <v>0</v>
      </c>
      <c r="I38" s="29">
        <f t="shared" si="8"/>
        <v>0</v>
      </c>
      <c r="J38" s="29">
        <f t="shared" si="8"/>
        <v>0</v>
      </c>
      <c r="K38" s="29">
        <f t="shared" si="8"/>
        <v>0</v>
      </c>
      <c r="L38" s="29">
        <f t="shared" si="8"/>
        <v>0</v>
      </c>
      <c r="M38" s="29">
        <f t="shared" si="8"/>
        <v>0</v>
      </c>
      <c r="N38" s="29">
        <f t="shared" si="8"/>
        <v>0</v>
      </c>
      <c r="O38" s="29">
        <f t="shared" si="8"/>
        <v>175273.4597872771</v>
      </c>
      <c r="P38" s="29">
        <f t="shared" si="8"/>
        <v>327613.94352762075</v>
      </c>
      <c r="Q38" s="29">
        <f t="shared" si="8"/>
        <v>459271.88344993553</v>
      </c>
      <c r="R38" s="29">
        <f t="shared" si="8"/>
        <v>572301.41239867371</v>
      </c>
      <c r="S38" s="29">
        <f t="shared" si="8"/>
        <v>668576.41635359055</v>
      </c>
      <c r="T38" s="29">
        <f t="shared" si="8"/>
        <v>970711.1464694303</v>
      </c>
      <c r="U38" s="29">
        <f t="shared" si="8"/>
        <v>936207.57115346927</v>
      </c>
      <c r="V38" s="29">
        <f t="shared" si="8"/>
        <v>902930.41289670789</v>
      </c>
      <c r="W38" s="29">
        <f t="shared" si="8"/>
        <v>870836.07914998534</v>
      </c>
      <c r="X38" s="29">
        <f t="shared" si="8"/>
        <v>839882.52684548055</v>
      </c>
      <c r="Y38" s="29">
        <f t="shared" si="8"/>
        <v>810029.20732095302</v>
      </c>
      <c r="Z38" s="29">
        <f t="shared" si="8"/>
        <v>781237.01320164313</v>
      </c>
      <c r="AA38" s="29">
        <f t="shared" si="8"/>
        <v>753468.22717022838</v>
      </c>
      <c r="AB38" s="29">
        <f t="shared" si="8"/>
        <v>726686.4725577404</v>
      </c>
      <c r="AC38" s="29">
        <f t="shared" si="8"/>
        <v>700856.66569070297</v>
      </c>
      <c r="AD38" s="29">
        <f t="shared" si="8"/>
        <v>675944.96993207838</v>
      </c>
      <c r="AE38" s="29">
        <f t="shared" si="8"/>
        <v>651918.75135580846</v>
      </c>
      <c r="AF38" s="29">
        <f t="shared" si="8"/>
        <v>628746.53599689063</v>
      </c>
      <c r="AG38" s="29">
        <f t="shared" si="8"/>
        <v>606397.96862098121</v>
      </c>
      <c r="AH38" s="29">
        <f t="shared" si="8"/>
        <v>584843.77295952372</v>
      </c>
      <c r="AI38" s="29">
        <f t="shared" si="8"/>
        <v>0</v>
      </c>
      <c r="AJ38" s="29">
        <f t="shared" si="8"/>
        <v>0</v>
      </c>
      <c r="AK38" s="29">
        <f t="shared" si="8"/>
        <v>0</v>
      </c>
      <c r="AL38" s="29">
        <f t="shared" si="8"/>
        <v>0</v>
      </c>
      <c r="AM38" s="29">
        <f t="shared" si="8"/>
        <v>0</v>
      </c>
      <c r="AN38" s="29">
        <f t="shared" si="8"/>
        <v>0</v>
      </c>
      <c r="AO38" s="29">
        <f t="shared" si="8"/>
        <v>0</v>
      </c>
      <c r="AP38" s="29">
        <f t="shared" si="8"/>
        <v>0</v>
      </c>
      <c r="AQ38" s="29">
        <f t="shared" si="8"/>
        <v>0</v>
      </c>
      <c r="AR38" s="29">
        <f t="shared" si="8"/>
        <v>0</v>
      </c>
      <c r="AS38" s="29">
        <f t="shared" si="8"/>
        <v>0</v>
      </c>
      <c r="AT38" s="29">
        <f t="shared" si="8"/>
        <v>0</v>
      </c>
    </row>
    <row r="39" spans="1:46" s="1" customFormat="1" x14ac:dyDescent="0.35">
      <c r="B39" s="50" t="s">
        <v>54</v>
      </c>
      <c r="C39" s="48"/>
      <c r="D39" s="792">
        <f>SUM(D40:D42)</f>
        <v>3495481.8270599749</v>
      </c>
      <c r="E39" s="792"/>
      <c r="F39" s="791"/>
      <c r="G39" s="791"/>
      <c r="H39" s="791"/>
      <c r="I39" s="791"/>
      <c r="J39" s="791"/>
      <c r="K39" s="791"/>
      <c r="L39" s="791"/>
      <c r="M39" s="791"/>
      <c r="N39" s="791"/>
      <c r="O39" s="791"/>
      <c r="P39" s="791"/>
      <c r="Q39" s="791"/>
      <c r="R39" s="791"/>
      <c r="S39" s="791"/>
      <c r="T39" s="791"/>
      <c r="U39" s="791"/>
      <c r="V39" s="791"/>
      <c r="W39" s="791"/>
      <c r="X39" s="791"/>
      <c r="Y39" s="791"/>
      <c r="Z39" s="791"/>
      <c r="AA39" s="791"/>
      <c r="AB39" s="791"/>
      <c r="AC39" s="791"/>
      <c r="AD39" s="791"/>
      <c r="AE39" s="791"/>
      <c r="AF39" s="791"/>
      <c r="AG39" s="791"/>
      <c r="AH39" s="791"/>
      <c r="AI39" s="791"/>
      <c r="AJ39" s="296"/>
      <c r="AK39" s="296"/>
      <c r="AL39" s="296"/>
      <c r="AM39" s="296"/>
      <c r="AN39" s="296"/>
      <c r="AO39" s="296"/>
      <c r="AP39" s="296"/>
      <c r="AQ39" s="296"/>
      <c r="AR39" s="296"/>
      <c r="AS39" s="296"/>
      <c r="AT39" s="296"/>
    </row>
    <row r="40" spans="1:46" s="1" customFormat="1" x14ac:dyDescent="0.35">
      <c r="A40"/>
      <c r="B40" t="s">
        <v>55</v>
      </c>
      <c r="C40" s="7" t="s">
        <v>50</v>
      </c>
      <c r="D40" s="177">
        <f>SUMIF(F40:AT40,"&lt;&gt;#n/a")</f>
        <v>893050.14956455515</v>
      </c>
      <c r="E40" s="73">
        <f>$E$46*D40/$D$46</f>
        <v>7.8950226925393243E-3</v>
      </c>
      <c r="F40" s="29">
        <f t="shared" ref="F40:AT40" si="9">F23*F$10</f>
        <v>0</v>
      </c>
      <c r="G40" s="29">
        <f t="shared" si="9"/>
        <v>0</v>
      </c>
      <c r="H40" s="29">
        <f t="shared" si="9"/>
        <v>0</v>
      </c>
      <c r="I40" s="29">
        <f t="shared" si="9"/>
        <v>0</v>
      </c>
      <c r="J40" s="29">
        <f t="shared" si="9"/>
        <v>0</v>
      </c>
      <c r="K40" s="29">
        <f t="shared" si="9"/>
        <v>0</v>
      </c>
      <c r="L40" s="29">
        <f t="shared" si="9"/>
        <v>0</v>
      </c>
      <c r="M40" s="29">
        <f t="shared" si="9"/>
        <v>0</v>
      </c>
      <c r="N40" s="29">
        <f t="shared" si="9"/>
        <v>0</v>
      </c>
      <c r="O40" s="29">
        <f t="shared" si="9"/>
        <v>21976.727778363675</v>
      </c>
      <c r="P40" s="29">
        <f t="shared" si="9"/>
        <v>38235.999433619509</v>
      </c>
      <c r="Q40" s="29">
        <f t="shared" si="9"/>
        <v>49617.761242752691</v>
      </c>
      <c r="R40" s="29">
        <f t="shared" si="9"/>
        <v>56864.366505443315</v>
      </c>
      <c r="S40" s="29">
        <f t="shared" si="9"/>
        <v>60630.545605851781</v>
      </c>
      <c r="T40" s="29">
        <f t="shared" si="9"/>
        <v>79609.18933247104</v>
      </c>
      <c r="U40" s="29">
        <f t="shared" si="9"/>
        <v>68658.064791969096</v>
      </c>
      <c r="V40" s="29">
        <f t="shared" si="9"/>
        <v>58384.867805181319</v>
      </c>
      <c r="W40" s="29">
        <f t="shared" si="9"/>
        <v>54613.203087307513</v>
      </c>
      <c r="X40" s="29">
        <f t="shared" si="9"/>
        <v>51035.898595058345</v>
      </c>
      <c r="Y40" s="29">
        <f t="shared" si="9"/>
        <v>47643.902602339018</v>
      </c>
      <c r="Z40" s="29">
        <f t="shared" si="9"/>
        <v>44428.561304857991</v>
      </c>
      <c r="AA40" s="29">
        <f t="shared" si="9"/>
        <v>41381.601968297553</v>
      </c>
      <c r="AB40" s="29">
        <f t="shared" si="9"/>
        <v>38495.116771726149</v>
      </c>
      <c r="AC40" s="29">
        <f t="shared" si="9"/>
        <v>35761.547318118639</v>
      </c>
      <c r="AD40" s="29">
        <f t="shared" si="9"/>
        <v>33173.669784973383</v>
      </c>
      <c r="AE40" s="29">
        <f t="shared" si="9"/>
        <v>30724.580689091312</v>
      </c>
      <c r="AF40" s="29">
        <f t="shared" si="9"/>
        <v>28407.683240618186</v>
      </c>
      <c r="AG40" s="29">
        <f t="shared" si="9"/>
        <v>27256.192389437252</v>
      </c>
      <c r="AH40" s="29">
        <f t="shared" si="9"/>
        <v>26150.669317077467</v>
      </c>
      <c r="AI40" s="29">
        <f t="shared" si="9"/>
        <v>0</v>
      </c>
      <c r="AJ40" s="29">
        <f t="shared" si="9"/>
        <v>0</v>
      </c>
      <c r="AK40" s="29">
        <f t="shared" si="9"/>
        <v>0</v>
      </c>
      <c r="AL40" s="29">
        <f t="shared" si="9"/>
        <v>0</v>
      </c>
      <c r="AM40" s="29">
        <f t="shared" si="9"/>
        <v>0</v>
      </c>
      <c r="AN40" s="29">
        <f t="shared" si="9"/>
        <v>0</v>
      </c>
      <c r="AO40" s="29">
        <f t="shared" si="9"/>
        <v>0</v>
      </c>
      <c r="AP40" s="29">
        <f t="shared" si="9"/>
        <v>0</v>
      </c>
      <c r="AQ40" s="29">
        <f t="shared" si="9"/>
        <v>0</v>
      </c>
      <c r="AR40" s="29">
        <f t="shared" si="9"/>
        <v>0</v>
      </c>
      <c r="AS40" s="29">
        <f t="shared" si="9"/>
        <v>0</v>
      </c>
      <c r="AT40" s="29">
        <f t="shared" si="9"/>
        <v>0</v>
      </c>
    </row>
    <row r="41" spans="1:46" s="1" customFormat="1" x14ac:dyDescent="0.35">
      <c r="A41"/>
      <c r="B41" t="s">
        <v>56</v>
      </c>
      <c r="C41" s="7" t="s">
        <v>50</v>
      </c>
      <c r="D41" s="177">
        <f>SUMIF(F41:AT41,"&lt;&gt;#n/a")</f>
        <v>1961372.5455141999</v>
      </c>
      <c r="E41" s="73">
        <f>$E$46*D41/$D$46</f>
        <v>1.7339542200299325E-2</v>
      </c>
      <c r="F41" s="29">
        <f t="shared" ref="F41:AT41" si="10">F24*F$10</f>
        <v>0</v>
      </c>
      <c r="G41" s="29">
        <f t="shared" si="10"/>
        <v>0</v>
      </c>
      <c r="H41" s="29">
        <f t="shared" si="10"/>
        <v>0</v>
      </c>
      <c r="I41" s="29">
        <f t="shared" si="10"/>
        <v>0</v>
      </c>
      <c r="J41" s="29">
        <f t="shared" si="10"/>
        <v>0</v>
      </c>
      <c r="K41" s="29">
        <f t="shared" si="10"/>
        <v>0</v>
      </c>
      <c r="L41" s="29">
        <f t="shared" si="10"/>
        <v>0</v>
      </c>
      <c r="M41" s="29">
        <f t="shared" si="10"/>
        <v>0</v>
      </c>
      <c r="N41" s="29">
        <f t="shared" si="10"/>
        <v>0</v>
      </c>
      <c r="O41" s="29">
        <f t="shared" si="10"/>
        <v>25196.661044342785</v>
      </c>
      <c r="P41" s="29">
        <f t="shared" si="10"/>
        <v>47096.562699706141</v>
      </c>
      <c r="Q41" s="29">
        <f t="shared" si="10"/>
        <v>66023.218737905801</v>
      </c>
      <c r="R41" s="29">
        <f t="shared" si="10"/>
        <v>82271.923660941815</v>
      </c>
      <c r="S41" s="29">
        <f t="shared" si="10"/>
        <v>96112.060351567547</v>
      </c>
      <c r="T41" s="29">
        <f t="shared" si="10"/>
        <v>139545.82604371602</v>
      </c>
      <c r="U41" s="29">
        <f t="shared" si="10"/>
        <v>134585.72031459224</v>
      </c>
      <c r="V41" s="29">
        <f t="shared" si="10"/>
        <v>129801.91974300428</v>
      </c>
      <c r="W41" s="29">
        <f t="shared" si="10"/>
        <v>125188.15762612913</v>
      </c>
      <c r="X41" s="29">
        <f t="shared" si="10"/>
        <v>120738.39000882124</v>
      </c>
      <c r="Y41" s="29">
        <f t="shared" si="10"/>
        <v>116446.7877661263</v>
      </c>
      <c r="Z41" s="29">
        <f t="shared" si="10"/>
        <v>112307.7289672206</v>
      </c>
      <c r="AA41" s="29">
        <f t="shared" si="10"/>
        <v>108315.79151077046</v>
      </c>
      <c r="AB41" s="29">
        <f t="shared" si="10"/>
        <v>104465.74602206604</v>
      </c>
      <c r="AC41" s="29">
        <f t="shared" si="10"/>
        <v>100752.54900262304</v>
      </c>
      <c r="AD41" s="29">
        <f t="shared" si="10"/>
        <v>97171.336223280043</v>
      </c>
      <c r="AE41" s="29">
        <f t="shared" si="10"/>
        <v>93717.416352135304</v>
      </c>
      <c r="AF41" s="29">
        <f t="shared" si="10"/>
        <v>90386.264808976513</v>
      </c>
      <c r="AG41" s="29">
        <f t="shared" si="10"/>
        <v>87173.517838152358</v>
      </c>
      <c r="AH41" s="29">
        <f t="shared" si="10"/>
        <v>84074.966792122228</v>
      </c>
      <c r="AI41" s="29">
        <f t="shared" si="10"/>
        <v>0</v>
      </c>
      <c r="AJ41" s="29">
        <f t="shared" si="10"/>
        <v>0</v>
      </c>
      <c r="AK41" s="29">
        <f t="shared" si="10"/>
        <v>0</v>
      </c>
      <c r="AL41" s="29">
        <f t="shared" si="10"/>
        <v>0</v>
      </c>
      <c r="AM41" s="29">
        <f t="shared" si="10"/>
        <v>0</v>
      </c>
      <c r="AN41" s="29">
        <f t="shared" si="10"/>
        <v>0</v>
      </c>
      <c r="AO41" s="29">
        <f t="shared" si="10"/>
        <v>0</v>
      </c>
      <c r="AP41" s="29">
        <f t="shared" si="10"/>
        <v>0</v>
      </c>
      <c r="AQ41" s="29">
        <f t="shared" si="10"/>
        <v>0</v>
      </c>
      <c r="AR41" s="29">
        <f t="shared" si="10"/>
        <v>0</v>
      </c>
      <c r="AS41" s="29">
        <f t="shared" si="10"/>
        <v>0</v>
      </c>
      <c r="AT41" s="29">
        <f t="shared" si="10"/>
        <v>0</v>
      </c>
    </row>
    <row r="42" spans="1:46" s="1" customFormat="1" x14ac:dyDescent="0.35">
      <c r="A42"/>
      <c r="B42" t="s">
        <v>57</v>
      </c>
      <c r="C42" s="7" t="s">
        <v>50</v>
      </c>
      <c r="D42" s="177">
        <f>SUMIF(F42:AT42,"&lt;&gt;#n/a")</f>
        <v>641059.13198121998</v>
      </c>
      <c r="E42" s="73">
        <f>$E$46*D42/$D$46</f>
        <v>5.6672924770451993E-3</v>
      </c>
      <c r="F42" s="29">
        <f t="shared" ref="F42:AT42" si="11">F25*F$10</f>
        <v>0</v>
      </c>
      <c r="G42" s="29">
        <f t="shared" si="11"/>
        <v>0</v>
      </c>
      <c r="H42" s="29">
        <f t="shared" si="11"/>
        <v>0</v>
      </c>
      <c r="I42" s="29">
        <f t="shared" si="11"/>
        <v>0</v>
      </c>
      <c r="J42" s="29">
        <f t="shared" si="11"/>
        <v>0</v>
      </c>
      <c r="K42" s="29">
        <f t="shared" si="11"/>
        <v>0</v>
      </c>
      <c r="L42" s="29">
        <f t="shared" si="11"/>
        <v>0</v>
      </c>
      <c r="M42" s="29">
        <f t="shared" si="11"/>
        <v>0</v>
      </c>
      <c r="N42" s="29">
        <f t="shared" si="11"/>
        <v>0</v>
      </c>
      <c r="O42" s="29">
        <f t="shared" si="11"/>
        <v>8235.3297413351956</v>
      </c>
      <c r="P42" s="29">
        <f t="shared" si="11"/>
        <v>15393.139703430272</v>
      </c>
      <c r="Q42" s="29">
        <f t="shared" si="11"/>
        <v>21579.167808547107</v>
      </c>
      <c r="R42" s="29">
        <f t="shared" si="11"/>
        <v>26889.92873339204</v>
      </c>
      <c r="S42" s="29">
        <f t="shared" si="11"/>
        <v>31413.468146486022</v>
      </c>
      <c r="T42" s="29">
        <f t="shared" si="11"/>
        <v>45609.451564814553</v>
      </c>
      <c r="U42" s="29">
        <f t="shared" si="11"/>
        <v>43988.280165979893</v>
      </c>
      <c r="V42" s="29">
        <f t="shared" si="11"/>
        <v>42424.732716002982</v>
      </c>
      <c r="W42" s="29">
        <f t="shared" si="11"/>
        <v>40916.760992540105</v>
      </c>
      <c r="X42" s="29">
        <f t="shared" si="11"/>
        <v>39462.389576567366</v>
      </c>
      <c r="Y42" s="29">
        <f t="shared" si="11"/>
        <v>38059.713264612867</v>
      </c>
      <c r="Z42" s="29">
        <f t="shared" si="11"/>
        <v>36706.894572970523</v>
      </c>
      <c r="AA42" s="29">
        <f t="shared" si="11"/>
        <v>35402.161330625502</v>
      </c>
      <c r="AB42" s="29">
        <f t="shared" si="11"/>
        <v>34143.804357738423</v>
      </c>
      <c r="AC42" s="29">
        <f t="shared" si="11"/>
        <v>32930.175226646796</v>
      </c>
      <c r="AD42" s="29">
        <f t="shared" si="11"/>
        <v>31759.684102451007</v>
      </c>
      <c r="AE42" s="29">
        <f t="shared" si="11"/>
        <v>30630.797660355805</v>
      </c>
      <c r="AF42" s="29">
        <f t="shared" si="11"/>
        <v>29542.037077039171</v>
      </c>
      <c r="AG42" s="29">
        <f t="shared" si="11"/>
        <v>28491.976093417168</v>
      </c>
      <c r="AH42" s="29">
        <f t="shared" si="11"/>
        <v>27479.239146267322</v>
      </c>
      <c r="AI42" s="29">
        <f t="shared" si="11"/>
        <v>0</v>
      </c>
      <c r="AJ42" s="29">
        <f t="shared" si="11"/>
        <v>0</v>
      </c>
      <c r="AK42" s="29">
        <f t="shared" si="11"/>
        <v>0</v>
      </c>
      <c r="AL42" s="29">
        <f t="shared" si="11"/>
        <v>0</v>
      </c>
      <c r="AM42" s="29">
        <f t="shared" si="11"/>
        <v>0</v>
      </c>
      <c r="AN42" s="29">
        <f t="shared" si="11"/>
        <v>0</v>
      </c>
      <c r="AO42" s="29">
        <f t="shared" si="11"/>
        <v>0</v>
      </c>
      <c r="AP42" s="29">
        <f t="shared" si="11"/>
        <v>0</v>
      </c>
      <c r="AQ42" s="29">
        <f t="shared" si="11"/>
        <v>0</v>
      </c>
      <c r="AR42" s="29">
        <f t="shared" si="11"/>
        <v>0</v>
      </c>
      <c r="AS42" s="29">
        <f t="shared" si="11"/>
        <v>0</v>
      </c>
      <c r="AT42" s="29">
        <f t="shared" si="11"/>
        <v>0</v>
      </c>
    </row>
    <row r="43" spans="1:46" s="1" customFormat="1" x14ac:dyDescent="0.35">
      <c r="B43" s="50" t="s">
        <v>58</v>
      </c>
      <c r="C43" s="48"/>
      <c r="D43" s="792">
        <f>SUM(D44:D45)</f>
        <v>1166816.0707546184</v>
      </c>
      <c r="E43" s="792"/>
      <c r="F43" s="791"/>
      <c r="G43" s="791"/>
      <c r="H43" s="791"/>
      <c r="I43" s="791"/>
      <c r="J43" s="791"/>
      <c r="K43" s="791"/>
      <c r="L43" s="791"/>
      <c r="M43" s="791"/>
      <c r="N43" s="791"/>
      <c r="O43" s="791"/>
      <c r="P43" s="791"/>
      <c r="Q43" s="791"/>
      <c r="R43" s="791"/>
      <c r="S43" s="791"/>
      <c r="T43" s="791"/>
      <c r="U43" s="791"/>
      <c r="V43" s="791"/>
      <c r="W43" s="791"/>
      <c r="X43" s="791"/>
      <c r="Y43" s="791"/>
      <c r="Z43" s="791"/>
      <c r="AA43" s="791"/>
      <c r="AB43" s="791"/>
      <c r="AC43" s="791"/>
      <c r="AD43" s="791"/>
      <c r="AE43" s="791"/>
      <c r="AF43" s="791"/>
      <c r="AG43" s="791"/>
      <c r="AH43" s="791"/>
      <c r="AI43" s="791"/>
      <c r="AJ43" s="296"/>
      <c r="AK43" s="296"/>
      <c r="AL43" s="296"/>
      <c r="AM43" s="296"/>
      <c r="AN43" s="296"/>
      <c r="AO43" s="296"/>
      <c r="AP43" s="296"/>
      <c r="AQ43" s="296"/>
      <c r="AR43" s="296"/>
      <c r="AS43" s="296"/>
      <c r="AT43" s="296"/>
    </row>
    <row r="44" spans="1:46" s="1" customFormat="1" x14ac:dyDescent="0.35">
      <c r="A44"/>
      <c r="B44" t="s">
        <v>59</v>
      </c>
      <c r="C44" s="7" t="s">
        <v>50</v>
      </c>
      <c r="D44" s="718">
        <f>SUMIF(F44:AT44,"&lt;&gt;#n/a")</f>
        <v>-218089.08336713735</v>
      </c>
      <c r="E44" s="73">
        <f>$E$46*D44/$D$46</f>
        <v>-1.9280196784225345E-3</v>
      </c>
      <c r="F44" s="29">
        <f t="shared" ref="F44:AT44" si="12">F27*F$10</f>
        <v>0</v>
      </c>
      <c r="G44" s="29">
        <f t="shared" si="12"/>
        <v>0</v>
      </c>
      <c r="H44" s="29">
        <f t="shared" si="12"/>
        <v>0</v>
      </c>
      <c r="I44" s="29">
        <f t="shared" si="12"/>
        <v>0</v>
      </c>
      <c r="J44" s="29">
        <f t="shared" si="12"/>
        <v>0</v>
      </c>
      <c r="K44" s="29">
        <f t="shared" si="12"/>
        <v>0</v>
      </c>
      <c r="L44" s="29">
        <f t="shared" si="12"/>
        <v>0</v>
      </c>
      <c r="M44" s="29">
        <f t="shared" si="12"/>
        <v>0</v>
      </c>
      <c r="N44" s="29">
        <f t="shared" si="12"/>
        <v>0</v>
      </c>
      <c r="O44" s="29">
        <f t="shared" si="12"/>
        <v>0</v>
      </c>
      <c r="P44" s="29">
        <f t="shared" si="12"/>
        <v>-11434.807624815874</v>
      </c>
      <c r="Q44" s="29">
        <f t="shared" si="12"/>
        <v>-10686.736097958759</v>
      </c>
      <c r="R44" s="29">
        <f t="shared" si="12"/>
        <v>-24143.708662904006</v>
      </c>
      <c r="S44" s="29">
        <f t="shared" si="12"/>
        <v>-9334.2091867925228</v>
      </c>
      <c r="T44" s="29">
        <f t="shared" si="12"/>
        <v>-8723.5599876565648</v>
      </c>
      <c r="U44" s="29">
        <f t="shared" si="12"/>
        <v>-35115.922548801966</v>
      </c>
      <c r="V44" s="29">
        <f t="shared" si="12"/>
        <v>-7619.4951416338236</v>
      </c>
      <c r="W44" s="29">
        <f t="shared" si="12"/>
        <v>-7121.0234968540417</v>
      </c>
      <c r="X44" s="29">
        <f t="shared" si="12"/>
        <v>-19232.242646625753</v>
      </c>
      <c r="Y44" s="29">
        <f t="shared" si="12"/>
        <v>-6219.7777070958518</v>
      </c>
      <c r="Z44" s="29">
        <f t="shared" si="12"/>
        <v>-5812.8763617718241</v>
      </c>
      <c r="AA44" s="29">
        <f t="shared" si="12"/>
        <v>-23399.221922537119</v>
      </c>
      <c r="AB44" s="29">
        <f t="shared" si="12"/>
        <v>-5077.1913370353959</v>
      </c>
      <c r="AC44" s="29">
        <f t="shared" si="12"/>
        <v>-4745.0386327433598</v>
      </c>
      <c r="AD44" s="29">
        <f t="shared" si="12"/>
        <v>-10720.095386753521</v>
      </c>
      <c r="AE44" s="29">
        <f t="shared" si="12"/>
        <v>-4144.500508990619</v>
      </c>
      <c r="AF44" s="29">
        <f t="shared" si="12"/>
        <v>-3873.364961673476</v>
      </c>
      <c r="AG44" s="29">
        <f t="shared" si="12"/>
        <v>-17302.164188230763</v>
      </c>
      <c r="AH44" s="29">
        <f t="shared" si="12"/>
        <v>-3383.146966262098</v>
      </c>
      <c r="AI44" s="29">
        <f t="shared" si="12"/>
        <v>0</v>
      </c>
      <c r="AJ44" s="29">
        <f t="shared" si="12"/>
        <v>0</v>
      </c>
      <c r="AK44" s="29">
        <f t="shared" si="12"/>
        <v>0</v>
      </c>
      <c r="AL44" s="29">
        <f t="shared" si="12"/>
        <v>0</v>
      </c>
      <c r="AM44" s="29">
        <f t="shared" si="12"/>
        <v>0</v>
      </c>
      <c r="AN44" s="29">
        <f t="shared" si="12"/>
        <v>0</v>
      </c>
      <c r="AO44" s="29">
        <f t="shared" si="12"/>
        <v>0</v>
      </c>
      <c r="AP44" s="29">
        <f t="shared" si="12"/>
        <v>0</v>
      </c>
      <c r="AQ44" s="29">
        <f t="shared" si="12"/>
        <v>0</v>
      </c>
      <c r="AR44" s="29">
        <f t="shared" si="12"/>
        <v>0</v>
      </c>
      <c r="AS44" s="29">
        <f t="shared" si="12"/>
        <v>0</v>
      </c>
      <c r="AT44" s="29">
        <f t="shared" si="12"/>
        <v>0</v>
      </c>
    </row>
    <row r="45" spans="1:46" s="1" customFormat="1" x14ac:dyDescent="0.35">
      <c r="A45"/>
      <c r="B45" t="s">
        <v>60</v>
      </c>
      <c r="C45" s="7" t="s">
        <v>50</v>
      </c>
      <c r="D45" s="177">
        <f>SUMIF(F45:AT45,"&lt;&gt;#n/a")</f>
        <v>1384905.1541217556</v>
      </c>
      <c r="E45" s="73">
        <f>$E$46*D45/$D$46</f>
        <v>1.2243273934993687E-2</v>
      </c>
      <c r="F45" s="29">
        <f t="shared" ref="F45:AT45" si="13">F28*F$10</f>
        <v>0</v>
      </c>
      <c r="G45" s="29">
        <f t="shared" si="13"/>
        <v>0</v>
      </c>
      <c r="H45" s="29">
        <f t="shared" si="13"/>
        <v>0</v>
      </c>
      <c r="I45" s="29">
        <f t="shared" si="13"/>
        <v>0</v>
      </c>
      <c r="J45" s="29">
        <f t="shared" si="13"/>
        <v>0</v>
      </c>
      <c r="K45" s="29">
        <f t="shared" si="13"/>
        <v>0</v>
      </c>
      <c r="L45" s="29">
        <f t="shared" si="13"/>
        <v>0</v>
      </c>
      <c r="M45" s="29">
        <f t="shared" si="13"/>
        <v>0</v>
      </c>
      <c r="N45" s="29">
        <f t="shared" si="13"/>
        <v>0</v>
      </c>
      <c r="O45" s="29">
        <f t="shared" si="13"/>
        <v>0</v>
      </c>
      <c r="P45" s="29">
        <f t="shared" si="13"/>
        <v>0</v>
      </c>
      <c r="Q45" s="29">
        <f t="shared" si="13"/>
        <v>0</v>
      </c>
      <c r="R45" s="29">
        <f t="shared" si="13"/>
        <v>0</v>
      </c>
      <c r="S45" s="29">
        <f t="shared" si="13"/>
        <v>0</v>
      </c>
      <c r="T45" s="29">
        <f t="shared" si="13"/>
        <v>0</v>
      </c>
      <c r="U45" s="29">
        <f t="shared" si="13"/>
        <v>0</v>
      </c>
      <c r="V45" s="29">
        <f t="shared" si="13"/>
        <v>0</v>
      </c>
      <c r="W45" s="29">
        <f t="shared" si="13"/>
        <v>0</v>
      </c>
      <c r="X45" s="29">
        <f t="shared" si="13"/>
        <v>0</v>
      </c>
      <c r="Y45" s="29">
        <f t="shared" si="13"/>
        <v>0</v>
      </c>
      <c r="Z45" s="29">
        <f t="shared" si="13"/>
        <v>0</v>
      </c>
      <c r="AA45" s="29">
        <f t="shared" si="13"/>
        <v>0</v>
      </c>
      <c r="AB45" s="29">
        <f t="shared" si="13"/>
        <v>0</v>
      </c>
      <c r="AC45" s="29">
        <f t="shared" si="13"/>
        <v>0</v>
      </c>
      <c r="AD45" s="29">
        <f t="shared" si="13"/>
        <v>0</v>
      </c>
      <c r="AE45" s="29">
        <f t="shared" si="13"/>
        <v>0</v>
      </c>
      <c r="AF45" s="29">
        <f t="shared" si="13"/>
        <v>0</v>
      </c>
      <c r="AG45" s="29">
        <f t="shared" si="13"/>
        <v>0</v>
      </c>
      <c r="AH45" s="29">
        <f t="shared" si="13"/>
        <v>1384905.1541217556</v>
      </c>
      <c r="AI45" s="29">
        <f t="shared" si="13"/>
        <v>0</v>
      </c>
      <c r="AJ45" s="29">
        <f t="shared" si="13"/>
        <v>0</v>
      </c>
      <c r="AK45" s="29">
        <f t="shared" si="13"/>
        <v>0</v>
      </c>
      <c r="AL45" s="29">
        <f t="shared" si="13"/>
        <v>0</v>
      </c>
      <c r="AM45" s="29">
        <f t="shared" si="13"/>
        <v>0</v>
      </c>
      <c r="AN45" s="29">
        <f t="shared" si="13"/>
        <v>0</v>
      </c>
      <c r="AO45" s="29">
        <f t="shared" si="13"/>
        <v>0</v>
      </c>
      <c r="AP45" s="29">
        <f t="shared" si="13"/>
        <v>0</v>
      </c>
      <c r="AQ45" s="29">
        <f t="shared" si="13"/>
        <v>0</v>
      </c>
      <c r="AR45" s="29">
        <f t="shared" si="13"/>
        <v>0</v>
      </c>
      <c r="AS45" s="29">
        <f t="shared" si="13"/>
        <v>0</v>
      </c>
      <c r="AT45" s="29">
        <f t="shared" si="13"/>
        <v>0</v>
      </c>
    </row>
    <row r="46" spans="1:46" s="1" customFormat="1" x14ac:dyDescent="0.35">
      <c r="A46"/>
      <c r="B46" s="8" t="s">
        <v>63</v>
      </c>
      <c r="C46" s="17" t="s">
        <v>50</v>
      </c>
      <c r="D46" s="178">
        <f>SUMIF(F46:AT46,"&lt;&gt;#n/a")</f>
        <v>113115589.95371525</v>
      </c>
      <c r="E46" s="180">
        <v>1</v>
      </c>
      <c r="F46" s="179">
        <f t="shared" ref="F46:AT46" si="14">SUMIF(F33:F45,"&lt;&gt;#n/a")*F11</f>
        <v>0</v>
      </c>
      <c r="G46" s="179">
        <f t="shared" si="14"/>
        <v>0</v>
      </c>
      <c r="H46" s="179">
        <f t="shared" si="14"/>
        <v>0</v>
      </c>
      <c r="I46" s="179">
        <f t="shared" si="14"/>
        <v>0</v>
      </c>
      <c r="J46" s="179">
        <f t="shared" si="14"/>
        <v>0</v>
      </c>
      <c r="K46" s="179">
        <f t="shared" si="14"/>
        <v>0</v>
      </c>
      <c r="L46" s="179">
        <f t="shared" si="14"/>
        <v>0</v>
      </c>
      <c r="M46" s="179">
        <f t="shared" si="14"/>
        <v>0</v>
      </c>
      <c r="N46" s="179">
        <f t="shared" si="14"/>
        <v>0</v>
      </c>
      <c r="O46" s="179">
        <f t="shared" si="14"/>
        <v>1448647.7772657813</v>
      </c>
      <c r="P46" s="179">
        <f t="shared" si="14"/>
        <v>2693476.0506637944</v>
      </c>
      <c r="Q46" s="179">
        <f t="shared" si="14"/>
        <v>3777260.266530293</v>
      </c>
      <c r="R46" s="179">
        <f t="shared" si="14"/>
        <v>4691074.8527154345</v>
      </c>
      <c r="S46" s="179">
        <f t="shared" si="14"/>
        <v>5493298.900522911</v>
      </c>
      <c r="T46" s="179">
        <f t="shared" si="14"/>
        <v>7972170.2377702054</v>
      </c>
      <c r="U46" s="179">
        <f t="shared" si="14"/>
        <v>7653978.4575679749</v>
      </c>
      <c r="V46" s="179">
        <f t="shared" si="14"/>
        <v>7400336.0455131512</v>
      </c>
      <c r="W46" s="179">
        <f t="shared" si="14"/>
        <v>7135825.030897609</v>
      </c>
      <c r="X46" s="179">
        <f t="shared" si="14"/>
        <v>6868184.2892459249</v>
      </c>
      <c r="Y46" s="179">
        <f t="shared" si="14"/>
        <v>6634808.0903091216</v>
      </c>
      <c r="Z46" s="179">
        <f t="shared" si="14"/>
        <v>6397640.2108211946</v>
      </c>
      <c r="AA46" s="179">
        <f t="shared" si="14"/>
        <v>6150977.6875897767</v>
      </c>
      <c r="AB46" s="179">
        <f t="shared" si="14"/>
        <v>5948418.1411577025</v>
      </c>
      <c r="AC46" s="179">
        <f t="shared" si="14"/>
        <v>5735770.1889900882</v>
      </c>
      <c r="AD46" s="179">
        <f t="shared" si="14"/>
        <v>5524433.8560628723</v>
      </c>
      <c r="AE46" s="179">
        <f t="shared" si="14"/>
        <v>5332994.4700490264</v>
      </c>
      <c r="AF46" s="179">
        <f t="shared" si="14"/>
        <v>5142334.1349821528</v>
      </c>
      <c r="AG46" s="179">
        <f t="shared" si="14"/>
        <v>4945843.5082714437</v>
      </c>
      <c r="AH46" s="179">
        <f t="shared" si="14"/>
        <v>6168117.7567887912</v>
      </c>
      <c r="AI46" s="179">
        <f t="shared" si="14"/>
        <v>0</v>
      </c>
      <c r="AJ46" s="179">
        <f t="shared" si="14"/>
        <v>0</v>
      </c>
      <c r="AK46" s="179">
        <f t="shared" si="14"/>
        <v>0</v>
      </c>
      <c r="AL46" s="179">
        <f t="shared" si="14"/>
        <v>0</v>
      </c>
      <c r="AM46" s="179">
        <f t="shared" si="14"/>
        <v>0</v>
      </c>
      <c r="AN46" s="179">
        <f t="shared" si="14"/>
        <v>0</v>
      </c>
      <c r="AO46" s="179">
        <f t="shared" si="14"/>
        <v>0</v>
      </c>
      <c r="AP46" s="179">
        <f t="shared" si="14"/>
        <v>0</v>
      </c>
      <c r="AQ46" s="179">
        <f t="shared" si="14"/>
        <v>0</v>
      </c>
      <c r="AR46" s="179">
        <f t="shared" si="14"/>
        <v>0</v>
      </c>
      <c r="AS46" s="179">
        <f t="shared" si="14"/>
        <v>0</v>
      </c>
      <c r="AT46" s="179">
        <f t="shared" si="14"/>
        <v>0</v>
      </c>
    </row>
    <row r="47" spans="1:46" s="1" customFormat="1" ht="4.4000000000000004" customHeight="1" thickBot="1" x14ac:dyDescent="0.4">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row>
    <row r="48" spans="1:46" s="1" customFormat="1" x14ac:dyDescent="0.35">
      <c r="A48"/>
      <c r="B48"/>
      <c r="C48"/>
      <c r="D48"/>
      <c r="E48" s="22"/>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row>
    <row r="49" spans="1:46" s="1" customFormat="1" x14ac:dyDescent="0.35">
      <c r="A49"/>
      <c r="B49"/>
      <c r="C49"/>
      <c r="D49" s="294"/>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row>
    <row r="50" spans="1:46" s="1" customFormat="1" x14ac:dyDescent="0.35">
      <c r="A50" s="659" t="s">
        <v>64</v>
      </c>
      <c r="B50" s="39"/>
      <c r="C50" s="39"/>
      <c r="D50" s="40"/>
      <c r="E50" s="40"/>
      <c r="F50" s="40"/>
      <c r="G50" s="41"/>
      <c r="H50" s="41"/>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row>
    <row r="51" spans="1:46" s="1" customFormat="1" x14ac:dyDescent="0.35">
      <c r="A51"/>
      <c r="B51" t="s">
        <v>65</v>
      </c>
      <c r="C51"/>
      <c r="D51"/>
      <c r="E51" s="295" t="s">
        <v>66</v>
      </c>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row>
    <row r="52" spans="1:46" s="1" customFormat="1" x14ac:dyDescent="0.35">
      <c r="A52"/>
      <c r="B52" t="s">
        <v>67</v>
      </c>
      <c r="C52" s="7" t="s">
        <v>50</v>
      </c>
      <c r="D52" s="178">
        <f>SUM(F52:AT52)</f>
        <v>46443764.048794001</v>
      </c>
      <c r="E52" s="304">
        <f>IF('Sensitivity Analysis'!C6="Yes",1.1,IF('Sensitivity Analysis'!C7="Yes",0.9,1))</f>
        <v>1</v>
      </c>
      <c r="F52" s="29">
        <f>Costs!H22*$E52</f>
        <v>0</v>
      </c>
      <c r="G52" s="29">
        <f>Costs!I22*$E52</f>
        <v>0</v>
      </c>
      <c r="H52" s="29">
        <f>Costs!J22*$E52</f>
        <v>0</v>
      </c>
      <c r="I52" s="29">
        <f>Costs!K22*$E52</f>
        <v>0</v>
      </c>
      <c r="J52" s="29">
        <f>Costs!L22*$E52</f>
        <v>10298130.615085922</v>
      </c>
      <c r="K52" s="29">
        <f>Costs!M22*$E52</f>
        <v>10298130.615085922</v>
      </c>
      <c r="L52" s="29">
        <f>Costs!N22*$E52</f>
        <v>9647917.9184028078</v>
      </c>
      <c r="M52" s="29">
        <f>Costs!O22*$E52</f>
        <v>8099792.4501096737</v>
      </c>
      <c r="N52" s="29">
        <f>Costs!P22*$E52</f>
        <v>8099792.4501096737</v>
      </c>
      <c r="O52" s="29">
        <f>Costs!Q22*$E52</f>
        <v>0</v>
      </c>
      <c r="P52" s="29">
        <f>Costs!R22*$E52</f>
        <v>0</v>
      </c>
      <c r="Q52" s="29">
        <f>Costs!S22*$E52</f>
        <v>0</v>
      </c>
      <c r="R52" s="29">
        <f>Costs!T22*$E52</f>
        <v>0</v>
      </c>
      <c r="S52" s="29">
        <f>Costs!U22*$E52</f>
        <v>0</v>
      </c>
      <c r="T52" s="29">
        <f>Costs!V22*$E52</f>
        <v>0</v>
      </c>
      <c r="U52" s="29">
        <f>Costs!W22*$E52</f>
        <v>0</v>
      </c>
      <c r="V52" s="29">
        <f>Costs!X22*$E52</f>
        <v>0</v>
      </c>
      <c r="W52" s="29">
        <f>Costs!Y22*$E52</f>
        <v>0</v>
      </c>
      <c r="X52" s="29">
        <f>Costs!Z22*$E52</f>
        <v>0</v>
      </c>
      <c r="Y52" s="29">
        <f>Costs!AA22*$E52</f>
        <v>0</v>
      </c>
      <c r="Z52" s="29">
        <f>Costs!AB22*$E52</f>
        <v>0</v>
      </c>
      <c r="AA52" s="29">
        <f>Costs!AC22*$E52</f>
        <v>0</v>
      </c>
      <c r="AB52" s="29">
        <f>Costs!AD22*$E52</f>
        <v>0</v>
      </c>
      <c r="AC52" s="29">
        <f>Costs!AE22*$E52</f>
        <v>0</v>
      </c>
      <c r="AD52" s="29">
        <f>Costs!AF22*$E52</f>
        <v>0</v>
      </c>
      <c r="AE52" s="29">
        <f>Costs!AG22*$E52</f>
        <v>0</v>
      </c>
      <c r="AF52" s="29">
        <f>Costs!AH22*$E52</f>
        <v>0</v>
      </c>
      <c r="AG52" s="29">
        <f>Costs!AI22*$E52</f>
        <v>0</v>
      </c>
      <c r="AH52" s="29">
        <f>Costs!AJ22*$E52</f>
        <v>0</v>
      </c>
      <c r="AI52" s="29">
        <f>Costs!AK22*$E52</f>
        <v>0</v>
      </c>
      <c r="AJ52" s="29">
        <f>Costs!AL22*$E52</f>
        <v>0</v>
      </c>
      <c r="AK52" s="29">
        <f>Costs!AM22*$E52</f>
        <v>0</v>
      </c>
      <c r="AL52" s="29">
        <f>Costs!AN22*$E52</f>
        <v>0</v>
      </c>
      <c r="AM52" s="29">
        <f>Costs!AO22*$E52</f>
        <v>0</v>
      </c>
      <c r="AN52" s="29">
        <f>Costs!AP22*$E52</f>
        <v>0</v>
      </c>
      <c r="AO52" s="29">
        <f>Costs!AQ22*$E52</f>
        <v>0</v>
      </c>
      <c r="AP52" s="29">
        <f>Costs!AR22*$E52</f>
        <v>0</v>
      </c>
      <c r="AQ52" s="29">
        <f>Costs!AS22*$E52</f>
        <v>0</v>
      </c>
      <c r="AR52" s="29">
        <f>Costs!AT22*$E52</f>
        <v>0</v>
      </c>
      <c r="AS52" s="29">
        <f>Costs!AU22*$E52</f>
        <v>0</v>
      </c>
      <c r="AT52" s="29">
        <f>Costs!AV22*$E52</f>
        <v>0</v>
      </c>
    </row>
    <row r="53" spans="1:46" s="1" customFormat="1" x14ac:dyDescent="0.35">
      <c r="A53"/>
      <c r="B53" t="s">
        <v>68</v>
      </c>
      <c r="C53" s="7" t="s">
        <v>50</v>
      </c>
      <c r="D53" s="178">
        <f>SUM(F53:AT53)</f>
        <v>31385931.031986251</v>
      </c>
      <c r="E53" s="178"/>
      <c r="F53" s="179">
        <f>F52*F$10</f>
        <v>0</v>
      </c>
      <c r="G53" s="179">
        <f t="shared" ref="G53:AJ53" si="15">G52*G$10</f>
        <v>0</v>
      </c>
      <c r="H53" s="179">
        <f t="shared" si="15"/>
        <v>0</v>
      </c>
      <c r="I53" s="179">
        <f t="shared" si="15"/>
        <v>0</v>
      </c>
      <c r="J53" s="179">
        <f t="shared" si="15"/>
        <v>7856394.5392890861</v>
      </c>
      <c r="K53" s="179">
        <f t="shared" si="15"/>
        <v>7342424.8030739119</v>
      </c>
      <c r="L53" s="179">
        <f t="shared" si="15"/>
        <v>6428815.0809477055</v>
      </c>
      <c r="M53" s="179">
        <f t="shared" si="15"/>
        <v>5044143.6576245585</v>
      </c>
      <c r="N53" s="179">
        <f t="shared" si="15"/>
        <v>4714152.9510509893</v>
      </c>
      <c r="O53" s="179">
        <f t="shared" si="15"/>
        <v>0</v>
      </c>
      <c r="P53" s="179">
        <f t="shared" si="15"/>
        <v>0</v>
      </c>
      <c r="Q53" s="179">
        <f t="shared" si="15"/>
        <v>0</v>
      </c>
      <c r="R53" s="179">
        <f t="shared" si="15"/>
        <v>0</v>
      </c>
      <c r="S53" s="179">
        <f t="shared" si="15"/>
        <v>0</v>
      </c>
      <c r="T53" s="179">
        <f t="shared" si="15"/>
        <v>0</v>
      </c>
      <c r="U53" s="179">
        <f t="shared" si="15"/>
        <v>0</v>
      </c>
      <c r="V53" s="179">
        <f t="shared" si="15"/>
        <v>0</v>
      </c>
      <c r="W53" s="179">
        <f t="shared" si="15"/>
        <v>0</v>
      </c>
      <c r="X53" s="179">
        <f t="shared" si="15"/>
        <v>0</v>
      </c>
      <c r="Y53" s="179">
        <f t="shared" si="15"/>
        <v>0</v>
      </c>
      <c r="Z53" s="179">
        <f t="shared" si="15"/>
        <v>0</v>
      </c>
      <c r="AA53" s="179">
        <f t="shared" si="15"/>
        <v>0</v>
      </c>
      <c r="AB53" s="179">
        <f t="shared" si="15"/>
        <v>0</v>
      </c>
      <c r="AC53" s="179">
        <f t="shared" si="15"/>
        <v>0</v>
      </c>
      <c r="AD53" s="179">
        <f t="shared" si="15"/>
        <v>0</v>
      </c>
      <c r="AE53" s="179">
        <f t="shared" si="15"/>
        <v>0</v>
      </c>
      <c r="AF53" s="179">
        <f t="shared" si="15"/>
        <v>0</v>
      </c>
      <c r="AG53" s="179">
        <f t="shared" si="15"/>
        <v>0</v>
      </c>
      <c r="AH53" s="179">
        <f t="shared" si="15"/>
        <v>0</v>
      </c>
      <c r="AI53" s="179">
        <f t="shared" si="15"/>
        <v>0</v>
      </c>
      <c r="AJ53" s="179">
        <f t="shared" si="15"/>
        <v>0</v>
      </c>
      <c r="AK53" s="179">
        <f t="shared" ref="AK53:AT53" si="16">AK52*AK$10</f>
        <v>0</v>
      </c>
      <c r="AL53" s="179">
        <f t="shared" si="16"/>
        <v>0</v>
      </c>
      <c r="AM53" s="179">
        <f t="shared" si="16"/>
        <v>0</v>
      </c>
      <c r="AN53" s="179">
        <f t="shared" si="16"/>
        <v>0</v>
      </c>
      <c r="AO53" s="179">
        <f t="shared" si="16"/>
        <v>0</v>
      </c>
      <c r="AP53" s="179">
        <f t="shared" si="16"/>
        <v>0</v>
      </c>
      <c r="AQ53" s="179">
        <f t="shared" si="16"/>
        <v>0</v>
      </c>
      <c r="AR53" s="179">
        <f t="shared" si="16"/>
        <v>0</v>
      </c>
      <c r="AS53" s="179">
        <f t="shared" si="16"/>
        <v>0</v>
      </c>
      <c r="AT53" s="179">
        <f t="shared" si="16"/>
        <v>0</v>
      </c>
    </row>
    <row r="54" spans="1:46" s="1" customFormat="1" ht="2.9" customHeight="1" thickBot="1" x14ac:dyDescent="0.4">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row>
    <row r="55" spans="1:46" s="1" customFormat="1" x14ac:dyDescent="0.35">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row>
    <row r="56" spans="1:46" s="1" customFormat="1" x14ac:dyDescent="0.35">
      <c r="A56" s="659" t="s">
        <v>69</v>
      </c>
      <c r="B56" s="39"/>
      <c r="C56" s="39"/>
      <c r="D56" s="40"/>
      <c r="E56" s="40"/>
      <c r="F56" s="40"/>
      <c r="G56" s="41"/>
      <c r="H56" s="41"/>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42"/>
      <c r="AM56" s="42"/>
      <c r="AN56" s="42"/>
      <c r="AO56" s="42"/>
      <c r="AP56" s="42"/>
      <c r="AQ56" s="42"/>
      <c r="AR56" s="42"/>
      <c r="AS56" s="42"/>
      <c r="AT56" s="42"/>
    </row>
    <row r="57" spans="1:46" s="1" customFormat="1" ht="21" x14ac:dyDescent="0.5">
      <c r="A57"/>
      <c r="B57" t="s">
        <v>70</v>
      </c>
      <c r="C57" s="7" t="s">
        <v>71</v>
      </c>
      <c r="D57" s="780">
        <f>D46/D53</f>
        <v>3.6040221282088489</v>
      </c>
      <c r="E57" s="36"/>
      <c r="F57" s="36"/>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row>
    <row r="58" spans="1:46" s="1" customFormat="1" x14ac:dyDescent="0.35">
      <c r="A58"/>
      <c r="B58" t="s">
        <v>72</v>
      </c>
      <c r="C58" s="7" t="s">
        <v>50</v>
      </c>
      <c r="D58" s="178">
        <f>SUM(F58:AT58)</f>
        <v>81729658.921728984</v>
      </c>
      <c r="E58" s="179"/>
      <c r="F58" s="29">
        <f>F46-F53</f>
        <v>0</v>
      </c>
      <c r="G58" s="29">
        <f t="shared" ref="G58:AJ58" si="17">G46-G53</f>
        <v>0</v>
      </c>
      <c r="H58" s="29">
        <f t="shared" si="17"/>
        <v>0</v>
      </c>
      <c r="I58" s="29">
        <f t="shared" si="17"/>
        <v>0</v>
      </c>
      <c r="J58" s="29">
        <f t="shared" si="17"/>
        <v>-7856394.5392890861</v>
      </c>
      <c r="K58" s="29">
        <f t="shared" si="17"/>
        <v>-7342424.8030739119</v>
      </c>
      <c r="L58" s="29">
        <f t="shared" si="17"/>
        <v>-6428815.0809477055</v>
      </c>
      <c r="M58" s="29">
        <f t="shared" si="17"/>
        <v>-5044143.6576245585</v>
      </c>
      <c r="N58" s="29">
        <f t="shared" si="17"/>
        <v>-4714152.9510509893</v>
      </c>
      <c r="O58" s="29">
        <f t="shared" si="17"/>
        <v>1448647.7772657813</v>
      </c>
      <c r="P58" s="29">
        <f t="shared" si="17"/>
        <v>2693476.0506637944</v>
      </c>
      <c r="Q58" s="29">
        <f t="shared" si="17"/>
        <v>3777260.266530293</v>
      </c>
      <c r="R58" s="29">
        <f t="shared" si="17"/>
        <v>4691074.8527154345</v>
      </c>
      <c r="S58" s="29">
        <f t="shared" si="17"/>
        <v>5493298.900522911</v>
      </c>
      <c r="T58" s="29">
        <f t="shared" si="17"/>
        <v>7972170.2377702054</v>
      </c>
      <c r="U58" s="29">
        <f t="shared" si="17"/>
        <v>7653978.4575679749</v>
      </c>
      <c r="V58" s="29">
        <f t="shared" si="17"/>
        <v>7400336.0455131512</v>
      </c>
      <c r="W58" s="29">
        <f t="shared" si="17"/>
        <v>7135825.030897609</v>
      </c>
      <c r="X58" s="29">
        <f t="shared" si="17"/>
        <v>6868184.2892459249</v>
      </c>
      <c r="Y58" s="29">
        <f t="shared" si="17"/>
        <v>6634808.0903091216</v>
      </c>
      <c r="Z58" s="29">
        <f t="shared" si="17"/>
        <v>6397640.2108211946</v>
      </c>
      <c r="AA58" s="29">
        <f t="shared" si="17"/>
        <v>6150977.6875897767</v>
      </c>
      <c r="AB58" s="29">
        <f t="shared" si="17"/>
        <v>5948418.1411577025</v>
      </c>
      <c r="AC58" s="29">
        <f t="shared" si="17"/>
        <v>5735770.1889900882</v>
      </c>
      <c r="AD58" s="29">
        <f t="shared" si="17"/>
        <v>5524433.8560628723</v>
      </c>
      <c r="AE58" s="29">
        <f t="shared" si="17"/>
        <v>5332994.4700490264</v>
      </c>
      <c r="AF58" s="29">
        <f t="shared" si="17"/>
        <v>5142334.1349821528</v>
      </c>
      <c r="AG58" s="29">
        <f t="shared" si="17"/>
        <v>4945843.5082714437</v>
      </c>
      <c r="AH58" s="29">
        <f t="shared" si="17"/>
        <v>6168117.7567887912</v>
      </c>
      <c r="AI58" s="29">
        <f t="shared" si="17"/>
        <v>0</v>
      </c>
      <c r="AJ58" s="29">
        <f t="shared" si="17"/>
        <v>0</v>
      </c>
      <c r="AK58" s="29">
        <f t="shared" ref="AK58:AT58" si="18">AK46-AK53</f>
        <v>0</v>
      </c>
      <c r="AL58" s="29">
        <f t="shared" si="18"/>
        <v>0</v>
      </c>
      <c r="AM58" s="29">
        <f t="shared" si="18"/>
        <v>0</v>
      </c>
      <c r="AN58" s="29">
        <f t="shared" si="18"/>
        <v>0</v>
      </c>
      <c r="AO58" s="29">
        <f t="shared" si="18"/>
        <v>0</v>
      </c>
      <c r="AP58" s="29">
        <f t="shared" si="18"/>
        <v>0</v>
      </c>
      <c r="AQ58" s="29">
        <f t="shared" si="18"/>
        <v>0</v>
      </c>
      <c r="AR58" s="29">
        <f t="shared" si="18"/>
        <v>0</v>
      </c>
      <c r="AS58" s="29">
        <f t="shared" si="18"/>
        <v>0</v>
      </c>
      <c r="AT58" s="29">
        <f t="shared" si="18"/>
        <v>0</v>
      </c>
    </row>
    <row r="59" spans="1:46" s="1" customFormat="1" x14ac:dyDescent="0.35">
      <c r="A59"/>
      <c r="B59" t="s">
        <v>73</v>
      </c>
      <c r="C59" s="7" t="s">
        <v>50</v>
      </c>
      <c r="D59" s="178">
        <f>SUM(F59:AT59)</f>
        <v>388885799.94900101</v>
      </c>
      <c r="E59" s="179"/>
      <c r="F59" s="29">
        <f t="shared" ref="F59:AT59" si="19">F29-F52</f>
        <v>0</v>
      </c>
      <c r="G59" s="29">
        <f t="shared" si="19"/>
        <v>0</v>
      </c>
      <c r="H59" s="29">
        <f t="shared" si="19"/>
        <v>0</v>
      </c>
      <c r="I59" s="29">
        <f t="shared" si="19"/>
        <v>0</v>
      </c>
      <c r="J59" s="29">
        <f t="shared" si="19"/>
        <v>-10298130.615085922</v>
      </c>
      <c r="K59" s="29">
        <f t="shared" si="19"/>
        <v>-10298130.615085922</v>
      </c>
      <c r="L59" s="29">
        <f t="shared" si="19"/>
        <v>-9647917.9184028078</v>
      </c>
      <c r="M59" s="29">
        <f t="shared" si="19"/>
        <v>-8099792.4501096737</v>
      </c>
      <c r="N59" s="29">
        <f t="shared" si="19"/>
        <v>-8099792.4501096737</v>
      </c>
      <c r="O59" s="29">
        <f t="shared" si="19"/>
        <v>2663279.8516662559</v>
      </c>
      <c r="P59" s="29">
        <f t="shared" si="19"/>
        <v>5298475.0688902214</v>
      </c>
      <c r="Q59" s="29">
        <f t="shared" si="19"/>
        <v>7950573.6463508839</v>
      </c>
      <c r="R59" s="29">
        <f t="shared" si="19"/>
        <v>10565199.326471336</v>
      </c>
      <c r="S59" s="29">
        <f t="shared" si="19"/>
        <v>13237998.889963822</v>
      </c>
      <c r="T59" s="29">
        <f t="shared" si="19"/>
        <v>20556513.209308472</v>
      </c>
      <c r="U59" s="29">
        <f t="shared" si="19"/>
        <v>21117567.976385746</v>
      </c>
      <c r="V59" s="29">
        <f t="shared" si="19"/>
        <v>21847003.800765812</v>
      </c>
      <c r="W59" s="29">
        <f t="shared" si="19"/>
        <v>22540752.650384054</v>
      </c>
      <c r="X59" s="29">
        <f t="shared" si="19"/>
        <v>23213997.754901424</v>
      </c>
      <c r="Y59" s="29">
        <f t="shared" si="19"/>
        <v>23994966.148268051</v>
      </c>
      <c r="Z59" s="29">
        <f t="shared" si="19"/>
        <v>24756848.920391578</v>
      </c>
      <c r="AA59" s="29">
        <f t="shared" si="19"/>
        <v>25468506.781838901</v>
      </c>
      <c r="AB59" s="29">
        <f t="shared" si="19"/>
        <v>26353882.08937845</v>
      </c>
      <c r="AC59" s="29">
        <f t="shared" si="19"/>
        <v>27190589.868083365</v>
      </c>
      <c r="AD59" s="29">
        <f t="shared" si="19"/>
        <v>28021955.727659438</v>
      </c>
      <c r="AE59" s="29">
        <f t="shared" si="19"/>
        <v>28944468.256338969</v>
      </c>
      <c r="AF59" s="29">
        <f t="shared" si="19"/>
        <v>29863349.17976366</v>
      </c>
      <c r="AG59" s="29">
        <f t="shared" si="19"/>
        <v>30732816.877494566</v>
      </c>
      <c r="AH59" s="29">
        <f t="shared" si="19"/>
        <v>41010817.973489992</v>
      </c>
      <c r="AI59" s="29">
        <f t="shared" si="19"/>
        <v>0</v>
      </c>
      <c r="AJ59" s="29">
        <f t="shared" si="19"/>
        <v>0</v>
      </c>
      <c r="AK59" s="29">
        <f t="shared" si="19"/>
        <v>0</v>
      </c>
      <c r="AL59" s="29">
        <f t="shared" si="19"/>
        <v>0</v>
      </c>
      <c r="AM59" s="29">
        <f t="shared" si="19"/>
        <v>0</v>
      </c>
      <c r="AN59" s="29">
        <f t="shared" si="19"/>
        <v>0</v>
      </c>
      <c r="AO59" s="29">
        <f t="shared" si="19"/>
        <v>0</v>
      </c>
      <c r="AP59" s="29">
        <f t="shared" si="19"/>
        <v>0</v>
      </c>
      <c r="AQ59" s="29">
        <f t="shared" si="19"/>
        <v>0</v>
      </c>
      <c r="AR59" s="29">
        <f t="shared" si="19"/>
        <v>0</v>
      </c>
      <c r="AS59" s="29">
        <f t="shared" si="19"/>
        <v>0</v>
      </c>
      <c r="AT59" s="29">
        <f t="shared" si="19"/>
        <v>0</v>
      </c>
    </row>
    <row r="60" spans="1:46" s="1" customFormat="1" x14ac:dyDescent="0.35">
      <c r="A60"/>
      <c r="B60" s="8" t="s">
        <v>74</v>
      </c>
      <c r="C60" s="7" t="s">
        <v>50</v>
      </c>
      <c r="D60" s="179"/>
      <c r="E60" s="179"/>
      <c r="F60" s="29">
        <f>F58+E60</f>
        <v>0</v>
      </c>
      <c r="G60" s="29">
        <f t="shared" ref="G60:AJ60" si="20">G58+F60</f>
        <v>0</v>
      </c>
      <c r="H60" s="29">
        <f t="shared" si="20"/>
        <v>0</v>
      </c>
      <c r="I60" s="29">
        <f t="shared" si="20"/>
        <v>0</v>
      </c>
      <c r="J60" s="29">
        <f t="shared" si="20"/>
        <v>-7856394.5392890861</v>
      </c>
      <c r="K60" s="29">
        <f t="shared" si="20"/>
        <v>-15198819.342362998</v>
      </c>
      <c r="L60" s="29">
        <f t="shared" si="20"/>
        <v>-21627634.423310705</v>
      </c>
      <c r="M60" s="29">
        <f t="shared" si="20"/>
        <v>-26671778.080935262</v>
      </c>
      <c r="N60" s="29">
        <f t="shared" si="20"/>
        <v>-31385931.031986251</v>
      </c>
      <c r="O60" s="29">
        <f t="shared" si="20"/>
        <v>-29937283.254720472</v>
      </c>
      <c r="P60" s="29">
        <f t="shared" si="20"/>
        <v>-27243807.204056676</v>
      </c>
      <c r="Q60" s="29">
        <f t="shared" si="20"/>
        <v>-23466546.937526383</v>
      </c>
      <c r="R60" s="29">
        <f t="shared" si="20"/>
        <v>-18775472.08481095</v>
      </c>
      <c r="S60" s="29">
        <f t="shared" si="20"/>
        <v>-13282173.18428804</v>
      </c>
      <c r="T60" s="29">
        <f t="shared" si="20"/>
        <v>-5310002.9465178344</v>
      </c>
      <c r="U60" s="29">
        <f t="shared" si="20"/>
        <v>2343975.5110501405</v>
      </c>
      <c r="V60" s="29">
        <f t="shared" si="20"/>
        <v>9744311.5565632917</v>
      </c>
      <c r="W60" s="29">
        <f t="shared" si="20"/>
        <v>16880136.587460902</v>
      </c>
      <c r="X60" s="29">
        <f t="shared" si="20"/>
        <v>23748320.876706827</v>
      </c>
      <c r="Y60" s="29">
        <f t="shared" si="20"/>
        <v>30383128.967015948</v>
      </c>
      <c r="Z60" s="29">
        <f t="shared" si="20"/>
        <v>36780769.177837141</v>
      </c>
      <c r="AA60" s="29">
        <f t="shared" si="20"/>
        <v>42931746.86542692</v>
      </c>
      <c r="AB60" s="29">
        <f t="shared" si="20"/>
        <v>48880165.006584622</v>
      </c>
      <c r="AC60" s="29">
        <f t="shared" si="20"/>
        <v>54615935.195574708</v>
      </c>
      <c r="AD60" s="29">
        <f t="shared" si="20"/>
        <v>60140369.051637582</v>
      </c>
      <c r="AE60" s="29">
        <f t="shared" si="20"/>
        <v>65473363.521686606</v>
      </c>
      <c r="AF60" s="29">
        <f t="shared" si="20"/>
        <v>70615697.656668752</v>
      </c>
      <c r="AG60" s="29">
        <f t="shared" si="20"/>
        <v>75561541.164940193</v>
      </c>
      <c r="AH60" s="29">
        <f t="shared" si="20"/>
        <v>81729658.921728984</v>
      </c>
      <c r="AI60" s="29">
        <f t="shared" si="20"/>
        <v>81729658.921728984</v>
      </c>
      <c r="AJ60" s="29">
        <f t="shared" si="20"/>
        <v>81729658.921728984</v>
      </c>
      <c r="AK60" s="29">
        <f t="shared" ref="AK60:AT60" si="21">AK58+AJ60</f>
        <v>81729658.921728984</v>
      </c>
      <c r="AL60" s="29">
        <f t="shared" si="21"/>
        <v>81729658.921728984</v>
      </c>
      <c r="AM60" s="29">
        <f t="shared" si="21"/>
        <v>81729658.921728984</v>
      </c>
      <c r="AN60" s="29">
        <f t="shared" si="21"/>
        <v>81729658.921728984</v>
      </c>
      <c r="AO60" s="29">
        <f t="shared" si="21"/>
        <v>81729658.921728984</v>
      </c>
      <c r="AP60" s="29">
        <f t="shared" si="21"/>
        <v>81729658.921728984</v>
      </c>
      <c r="AQ60" s="29">
        <f t="shared" si="21"/>
        <v>81729658.921728984</v>
      </c>
      <c r="AR60" s="29">
        <f t="shared" si="21"/>
        <v>81729658.921728984</v>
      </c>
      <c r="AS60" s="29">
        <f t="shared" si="21"/>
        <v>81729658.921728984</v>
      </c>
      <c r="AT60" s="29">
        <f t="shared" si="21"/>
        <v>81729658.921728984</v>
      </c>
    </row>
    <row r="61" spans="1:46" s="1" customFormat="1" x14ac:dyDescent="0.35">
      <c r="A61"/>
      <c r="B61" s="8" t="s">
        <v>75</v>
      </c>
      <c r="C61" s="7" t="s">
        <v>50</v>
      </c>
      <c r="D61" s="179"/>
      <c r="E61" s="179"/>
      <c r="F61" s="29">
        <f>F59+E61</f>
        <v>0</v>
      </c>
      <c r="G61" s="29">
        <f t="shared" ref="G61:AJ61" si="22">G59+F61</f>
        <v>0</v>
      </c>
      <c r="H61" s="29">
        <f t="shared" si="22"/>
        <v>0</v>
      </c>
      <c r="I61" s="29">
        <f t="shared" si="22"/>
        <v>0</v>
      </c>
      <c r="J61" s="29">
        <f t="shared" si="22"/>
        <v>-10298130.615085922</v>
      </c>
      <c r="K61" s="29">
        <f t="shared" si="22"/>
        <v>-20596261.230171844</v>
      </c>
      <c r="L61" s="29">
        <f t="shared" si="22"/>
        <v>-30244179.14857465</v>
      </c>
      <c r="M61" s="29">
        <f t="shared" si="22"/>
        <v>-38343971.598684326</v>
      </c>
      <c r="N61" s="29">
        <f t="shared" si="22"/>
        <v>-46443764.048794001</v>
      </c>
      <c r="O61" s="29">
        <f t="shared" si="22"/>
        <v>-43780484.197127745</v>
      </c>
      <c r="P61" s="29">
        <f t="shared" si="22"/>
        <v>-38482009.128237523</v>
      </c>
      <c r="Q61" s="29">
        <f t="shared" si="22"/>
        <v>-30531435.48188664</v>
      </c>
      <c r="R61" s="29">
        <f t="shared" si="22"/>
        <v>-19966236.155415304</v>
      </c>
      <c r="S61" s="29">
        <f t="shared" si="22"/>
        <v>-6728237.2654514816</v>
      </c>
      <c r="T61" s="29">
        <f t="shared" si="22"/>
        <v>13828275.94385699</v>
      </c>
      <c r="U61" s="29">
        <f t="shared" si="22"/>
        <v>34945843.920242734</v>
      </c>
      <c r="V61" s="29">
        <f t="shared" si="22"/>
        <v>56792847.721008547</v>
      </c>
      <c r="W61" s="29">
        <f t="shared" si="22"/>
        <v>79333600.371392608</v>
      </c>
      <c r="X61" s="29">
        <f t="shared" si="22"/>
        <v>102547598.12629403</v>
      </c>
      <c r="Y61" s="29">
        <f t="shared" si="22"/>
        <v>126542564.27456209</v>
      </c>
      <c r="Z61" s="29">
        <f t="shared" si="22"/>
        <v>151299413.19495368</v>
      </c>
      <c r="AA61" s="29">
        <f t="shared" si="22"/>
        <v>176767919.97679257</v>
      </c>
      <c r="AB61" s="29">
        <f t="shared" si="22"/>
        <v>203121802.06617102</v>
      </c>
      <c r="AC61" s="29">
        <f t="shared" si="22"/>
        <v>230312391.93425438</v>
      </c>
      <c r="AD61" s="29">
        <f t="shared" si="22"/>
        <v>258334347.66191381</v>
      </c>
      <c r="AE61" s="29">
        <f t="shared" si="22"/>
        <v>287278815.91825277</v>
      </c>
      <c r="AF61" s="29">
        <f t="shared" si="22"/>
        <v>317142165.09801644</v>
      </c>
      <c r="AG61" s="29">
        <f t="shared" si="22"/>
        <v>347874981.97551101</v>
      </c>
      <c r="AH61" s="29">
        <f t="shared" si="22"/>
        <v>388885799.94900101</v>
      </c>
      <c r="AI61" s="29">
        <f t="shared" si="22"/>
        <v>388885799.94900101</v>
      </c>
      <c r="AJ61" s="29">
        <f t="shared" si="22"/>
        <v>388885799.94900101</v>
      </c>
      <c r="AK61" s="29">
        <f t="shared" ref="AK61:AT61" si="23">AK59+AJ61</f>
        <v>388885799.94900101</v>
      </c>
      <c r="AL61" s="29">
        <f t="shared" si="23"/>
        <v>388885799.94900101</v>
      </c>
      <c r="AM61" s="29">
        <f t="shared" si="23"/>
        <v>388885799.94900101</v>
      </c>
      <c r="AN61" s="29">
        <f t="shared" si="23"/>
        <v>388885799.94900101</v>
      </c>
      <c r="AO61" s="29">
        <f t="shared" si="23"/>
        <v>388885799.94900101</v>
      </c>
      <c r="AP61" s="29">
        <f t="shared" si="23"/>
        <v>388885799.94900101</v>
      </c>
      <c r="AQ61" s="29">
        <f t="shared" si="23"/>
        <v>388885799.94900101</v>
      </c>
      <c r="AR61" s="29">
        <f t="shared" si="23"/>
        <v>388885799.94900101</v>
      </c>
      <c r="AS61" s="29">
        <f t="shared" si="23"/>
        <v>388885799.94900101</v>
      </c>
      <c r="AT61" s="29">
        <f t="shared" si="23"/>
        <v>388885799.94900101</v>
      </c>
    </row>
    <row r="62" spans="1:46" s="1" customFormat="1" x14ac:dyDescent="0.35">
      <c r="A62"/>
      <c r="B62" t="s">
        <v>76</v>
      </c>
      <c r="C62" s="7" t="s">
        <v>77</v>
      </c>
      <c r="D62" s="43">
        <f>IRR(F61:AT61)</f>
        <v>0.1884578394310743</v>
      </c>
      <c r="E62" s="43"/>
      <c r="F62" s="22"/>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row>
    <row r="63" spans="1:46" s="1" customFormat="1" x14ac:dyDescent="0.35">
      <c r="A63"/>
      <c r="B63"/>
      <c r="C63" s="7"/>
      <c r="D63" s="22"/>
      <c r="E63" s="22"/>
      <c r="F63" s="22"/>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row>
    <row r="64" spans="1:46" s="1" customFormat="1" x14ac:dyDescent="0.35">
      <c r="A64" s="659" t="s">
        <v>78</v>
      </c>
      <c r="B64" s="39"/>
      <c r="C64" s="660" t="s">
        <v>42</v>
      </c>
      <c r="D64" s="660" t="s">
        <v>79</v>
      </c>
      <c r="E64" s="39"/>
      <c r="F64" s="39"/>
      <c r="G64" s="41"/>
      <c r="H64" s="41"/>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row>
    <row r="65" spans="1:46" s="1" customFormat="1" x14ac:dyDescent="0.35">
      <c r="A65"/>
      <c r="B65" t="s">
        <v>80</v>
      </c>
      <c r="C65" s="17">
        <f>IF(MIN(F65:AE65)=0,"n/a",MIN(F65:AW65))</f>
        <v>2038</v>
      </c>
      <c r="D65" s="17">
        <f>C65-$C$3</f>
        <v>5</v>
      </c>
      <c r="E65" s="17"/>
      <c r="F65" s="17" t="str">
        <f t="shared" ref="F65:AC65" si="24">IF(F61&gt;0,F$9," ")</f>
        <v xml:space="preserve"> </v>
      </c>
      <c r="G65" s="17" t="str">
        <f t="shared" si="24"/>
        <v xml:space="preserve"> </v>
      </c>
      <c r="H65" s="17" t="str">
        <f t="shared" si="24"/>
        <v xml:space="preserve"> </v>
      </c>
      <c r="I65" s="17" t="str">
        <f t="shared" si="24"/>
        <v xml:space="preserve"> </v>
      </c>
      <c r="J65" s="17" t="str">
        <f t="shared" si="24"/>
        <v xml:space="preserve"> </v>
      </c>
      <c r="K65" s="17" t="str">
        <f t="shared" si="24"/>
        <v xml:space="preserve"> </v>
      </c>
      <c r="L65" s="17" t="str">
        <f t="shared" si="24"/>
        <v xml:space="preserve"> </v>
      </c>
      <c r="M65" s="17" t="str">
        <f t="shared" si="24"/>
        <v xml:space="preserve"> </v>
      </c>
      <c r="N65" s="17" t="str">
        <f t="shared" si="24"/>
        <v xml:space="preserve"> </v>
      </c>
      <c r="O65" s="17" t="str">
        <f t="shared" si="24"/>
        <v xml:space="preserve"> </v>
      </c>
      <c r="P65" s="17" t="str">
        <f t="shared" si="24"/>
        <v xml:space="preserve"> </v>
      </c>
      <c r="Q65" s="17" t="str">
        <f t="shared" si="24"/>
        <v xml:space="preserve"> </v>
      </c>
      <c r="R65" s="17" t="str">
        <f t="shared" si="24"/>
        <v xml:space="preserve"> </v>
      </c>
      <c r="S65" s="17" t="str">
        <f t="shared" si="24"/>
        <v xml:space="preserve"> </v>
      </c>
      <c r="T65" s="17">
        <f t="shared" si="24"/>
        <v>2038</v>
      </c>
      <c r="U65" s="17">
        <f t="shared" si="24"/>
        <v>2039</v>
      </c>
      <c r="V65" s="17">
        <f t="shared" si="24"/>
        <v>2040</v>
      </c>
      <c r="W65" s="17">
        <f t="shared" si="24"/>
        <v>2041</v>
      </c>
      <c r="X65" s="17">
        <f t="shared" si="24"/>
        <v>2042</v>
      </c>
      <c r="Y65" s="17">
        <f t="shared" si="24"/>
        <v>2043</v>
      </c>
      <c r="Z65" s="17">
        <f t="shared" si="24"/>
        <v>2044</v>
      </c>
      <c r="AA65" s="17">
        <f t="shared" si="24"/>
        <v>2045</v>
      </c>
      <c r="AB65" s="17">
        <f t="shared" si="24"/>
        <v>2046</v>
      </c>
      <c r="AC65" s="17">
        <f t="shared" si="24"/>
        <v>2047</v>
      </c>
      <c r="AD65" s="17">
        <f t="shared" ref="AD65:AJ65" si="25">IF(AD61&gt;0,AD$9," ")</f>
        <v>2048</v>
      </c>
      <c r="AE65" s="17">
        <f t="shared" si="25"/>
        <v>2049</v>
      </c>
      <c r="AF65" s="17">
        <f t="shared" si="25"/>
        <v>2050</v>
      </c>
      <c r="AG65" s="17">
        <f t="shared" si="25"/>
        <v>2051</v>
      </c>
      <c r="AH65" s="17">
        <f t="shared" si="25"/>
        <v>2052</v>
      </c>
      <c r="AI65" s="17">
        <f t="shared" si="25"/>
        <v>2053</v>
      </c>
      <c r="AJ65" s="17">
        <f t="shared" si="25"/>
        <v>2054</v>
      </c>
      <c r="AK65" s="17">
        <f t="shared" ref="AK65:AT65" si="26">IF(AK61&gt;0,AK$9," ")</f>
        <v>2055</v>
      </c>
      <c r="AL65" s="17">
        <f t="shared" si="26"/>
        <v>2056</v>
      </c>
      <c r="AM65" s="17">
        <f t="shared" si="26"/>
        <v>2057</v>
      </c>
      <c r="AN65" s="17">
        <f t="shared" si="26"/>
        <v>2058</v>
      </c>
      <c r="AO65" s="17">
        <f t="shared" si="26"/>
        <v>2059</v>
      </c>
      <c r="AP65" s="17">
        <f t="shared" si="26"/>
        <v>2060</v>
      </c>
      <c r="AQ65" s="17">
        <f t="shared" si="26"/>
        <v>2061</v>
      </c>
      <c r="AR65" s="17">
        <f t="shared" si="26"/>
        <v>2062</v>
      </c>
      <c r="AS65" s="17">
        <f t="shared" si="26"/>
        <v>2063</v>
      </c>
      <c r="AT65" s="17">
        <f t="shared" si="26"/>
        <v>2064</v>
      </c>
    </row>
    <row r="66" spans="1:46" s="1" customFormat="1" x14ac:dyDescent="0.35">
      <c r="A66"/>
      <c r="B66" t="s">
        <v>81</v>
      </c>
      <c r="C66" s="17">
        <f>IF(MIN(F66:AE66)=0,"n/a",MIN(F66:AW66))</f>
        <v>2039</v>
      </c>
      <c r="D66" s="17"/>
      <c r="E66" s="17"/>
      <c r="F66" s="17" t="str">
        <f t="shared" ref="F66:AC66" si="27">IF(F60&gt;0,F$9," ")</f>
        <v xml:space="preserve"> </v>
      </c>
      <c r="G66" s="17" t="str">
        <f t="shared" si="27"/>
        <v xml:space="preserve"> </v>
      </c>
      <c r="H66" s="17" t="str">
        <f t="shared" si="27"/>
        <v xml:space="preserve"> </v>
      </c>
      <c r="I66" s="17" t="str">
        <f t="shared" si="27"/>
        <v xml:space="preserve"> </v>
      </c>
      <c r="J66" s="17" t="str">
        <f t="shared" si="27"/>
        <v xml:space="preserve"> </v>
      </c>
      <c r="K66" s="17" t="str">
        <f t="shared" si="27"/>
        <v xml:space="preserve"> </v>
      </c>
      <c r="L66" s="17" t="str">
        <f t="shared" si="27"/>
        <v xml:space="preserve"> </v>
      </c>
      <c r="M66" s="17" t="str">
        <f t="shared" si="27"/>
        <v xml:space="preserve"> </v>
      </c>
      <c r="N66" s="17" t="str">
        <f t="shared" si="27"/>
        <v xml:space="preserve"> </v>
      </c>
      <c r="O66" s="17" t="str">
        <f t="shared" si="27"/>
        <v xml:space="preserve"> </v>
      </c>
      <c r="P66" s="17" t="str">
        <f t="shared" si="27"/>
        <v xml:space="preserve"> </v>
      </c>
      <c r="Q66" s="17" t="str">
        <f t="shared" si="27"/>
        <v xml:space="preserve"> </v>
      </c>
      <c r="R66" s="17" t="str">
        <f t="shared" si="27"/>
        <v xml:space="preserve"> </v>
      </c>
      <c r="S66" s="17" t="str">
        <f t="shared" si="27"/>
        <v xml:space="preserve"> </v>
      </c>
      <c r="T66" s="17" t="str">
        <f t="shared" si="27"/>
        <v xml:space="preserve"> </v>
      </c>
      <c r="U66" s="17">
        <f t="shared" si="27"/>
        <v>2039</v>
      </c>
      <c r="V66" s="17">
        <f t="shared" si="27"/>
        <v>2040</v>
      </c>
      <c r="W66" s="17">
        <f t="shared" si="27"/>
        <v>2041</v>
      </c>
      <c r="X66" s="17">
        <f t="shared" si="27"/>
        <v>2042</v>
      </c>
      <c r="Y66" s="17">
        <f t="shared" si="27"/>
        <v>2043</v>
      </c>
      <c r="Z66" s="17">
        <f t="shared" si="27"/>
        <v>2044</v>
      </c>
      <c r="AA66" s="17">
        <f t="shared" si="27"/>
        <v>2045</v>
      </c>
      <c r="AB66" s="17">
        <f t="shared" si="27"/>
        <v>2046</v>
      </c>
      <c r="AC66" s="17">
        <f t="shared" si="27"/>
        <v>2047</v>
      </c>
      <c r="AD66" s="17">
        <f t="shared" ref="AD66:AJ66" si="28">IF(AD60&gt;0,AD$9," ")</f>
        <v>2048</v>
      </c>
      <c r="AE66" s="17">
        <f t="shared" si="28"/>
        <v>2049</v>
      </c>
      <c r="AF66" s="17">
        <f t="shared" si="28"/>
        <v>2050</v>
      </c>
      <c r="AG66" s="17">
        <f t="shared" si="28"/>
        <v>2051</v>
      </c>
      <c r="AH66" s="17">
        <f t="shared" si="28"/>
        <v>2052</v>
      </c>
      <c r="AI66" s="17">
        <f t="shared" si="28"/>
        <v>2053</v>
      </c>
      <c r="AJ66" s="17">
        <f t="shared" si="28"/>
        <v>2054</v>
      </c>
      <c r="AK66" s="17">
        <f t="shared" ref="AK66:AT66" si="29">IF(AK60&gt;0,AK$9," ")</f>
        <v>2055</v>
      </c>
      <c r="AL66" s="17">
        <f t="shared" si="29"/>
        <v>2056</v>
      </c>
      <c r="AM66" s="17">
        <f t="shared" si="29"/>
        <v>2057</v>
      </c>
      <c r="AN66" s="17">
        <f t="shared" si="29"/>
        <v>2058</v>
      </c>
      <c r="AO66" s="17">
        <f t="shared" si="29"/>
        <v>2059</v>
      </c>
      <c r="AP66" s="17">
        <f t="shared" si="29"/>
        <v>2060</v>
      </c>
      <c r="AQ66" s="17">
        <f t="shared" si="29"/>
        <v>2061</v>
      </c>
      <c r="AR66" s="17">
        <f t="shared" si="29"/>
        <v>2062</v>
      </c>
      <c r="AS66" s="17">
        <f t="shared" si="29"/>
        <v>2063</v>
      </c>
      <c r="AT66" s="17">
        <f t="shared" si="29"/>
        <v>2064</v>
      </c>
    </row>
    <row r="67" spans="1:46" s="1" customFormat="1" ht="2.9" customHeight="1" thickBot="1" x14ac:dyDescent="0.4">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row>
    <row r="68" spans="1:46" s="1" customFormat="1" x14ac:dyDescent="0.35">
      <c r="A68"/>
      <c r="B68"/>
      <c r="C68"/>
      <c r="D68"/>
      <c r="E68"/>
      <c r="F68"/>
      <c r="G68"/>
      <c r="H68"/>
      <c r="I68"/>
      <c r="J68"/>
      <c r="K68"/>
      <c r="L68"/>
      <c r="M68"/>
      <c r="N68"/>
      <c r="O68"/>
      <c r="P68"/>
      <c r="Q68"/>
      <c r="R68"/>
      <c r="S68"/>
      <c r="T68"/>
      <c r="U68"/>
      <c r="V68"/>
      <c r="W68"/>
      <c r="X68"/>
      <c r="Y68"/>
      <c r="Z68"/>
      <c r="AA68"/>
      <c r="AB68"/>
      <c r="AC68"/>
      <c r="AD68"/>
      <c r="AE68"/>
    </row>
    <row r="69" spans="1:46" s="1" customFormat="1" x14ac:dyDescent="0.35">
      <c r="A69"/>
      <c r="B69"/>
      <c r="C69"/>
      <c r="D69" s="19"/>
      <c r="E69"/>
      <c r="F69"/>
      <c r="G69"/>
      <c r="H69"/>
      <c r="I69"/>
      <c r="J69"/>
      <c r="K69"/>
      <c r="L69"/>
      <c r="M69"/>
      <c r="N69"/>
      <c r="O69"/>
      <c r="P69"/>
      <c r="Q69"/>
      <c r="R69"/>
      <c r="S69"/>
      <c r="T69"/>
      <c r="U69"/>
      <c r="V69"/>
      <c r="W69"/>
      <c r="X69"/>
      <c r="Y69"/>
      <c r="Z69"/>
      <c r="AA69"/>
      <c r="AB69"/>
      <c r="AC69"/>
      <c r="AD69"/>
      <c r="AE69"/>
    </row>
    <row r="70" spans="1:46" s="1" customFormat="1" x14ac:dyDescent="0.35">
      <c r="A70"/>
      <c r="B70" s="27"/>
      <c r="C70"/>
      <c r="D70" s="29"/>
      <c r="E70"/>
      <c r="F70"/>
      <c r="G70"/>
      <c r="H70"/>
      <c r="I70"/>
      <c r="J70"/>
      <c r="K70"/>
      <c r="L70"/>
      <c r="M70"/>
      <c r="N70"/>
      <c r="O70"/>
      <c r="P70"/>
      <c r="Q70"/>
      <c r="R70"/>
      <c r="S70"/>
      <c r="T70"/>
      <c r="U70"/>
      <c r="V70"/>
      <c r="W70"/>
      <c r="X70"/>
      <c r="Y70"/>
      <c r="Z70"/>
      <c r="AA70"/>
      <c r="AB70"/>
      <c r="AC70"/>
      <c r="AD70"/>
      <c r="AE70"/>
    </row>
    <row r="71" spans="1:46" x14ac:dyDescent="0.35">
      <c r="AF71" s="1"/>
      <c r="AG71" s="1"/>
      <c r="AH71" s="1"/>
      <c r="AI71" s="1"/>
      <c r="AJ71" s="1"/>
    </row>
    <row r="73" spans="1:46" x14ac:dyDescent="0.35">
      <c r="D73" s="29"/>
      <c r="E73" s="29"/>
    </row>
    <row r="74" spans="1:46" x14ac:dyDescent="0.35">
      <c r="D74" s="29"/>
      <c r="E74" s="29"/>
    </row>
    <row r="75" spans="1:46" x14ac:dyDescent="0.35">
      <c r="D75" s="29"/>
      <c r="E75" s="29"/>
      <c r="F75" s="19"/>
      <c r="G75" s="29"/>
    </row>
    <row r="80" spans="1:46" x14ac:dyDescent="0.35">
      <c r="D80" s="29"/>
    </row>
    <row r="81" spans="4:4" x14ac:dyDescent="0.35">
      <c r="D81" s="29"/>
    </row>
    <row r="82" spans="4:4" x14ac:dyDescent="0.35">
      <c r="D82" s="299"/>
    </row>
    <row r="84" spans="4:4" x14ac:dyDescent="0.35">
      <c r="D84" s="29"/>
    </row>
    <row r="85" spans="4:4" x14ac:dyDescent="0.35">
      <c r="D85" s="29"/>
    </row>
  </sheetData>
  <mergeCells count="128">
    <mergeCell ref="A8:B8"/>
    <mergeCell ref="A9:B9"/>
    <mergeCell ref="A10:B10"/>
    <mergeCell ref="A11:B11"/>
    <mergeCell ref="J20:K20"/>
    <mergeCell ref="D20:E20"/>
    <mergeCell ref="H20:I20"/>
    <mergeCell ref="D22:E22"/>
    <mergeCell ref="H22:I22"/>
    <mergeCell ref="J22:K22"/>
    <mergeCell ref="D16:E16"/>
    <mergeCell ref="H16:I16"/>
    <mergeCell ref="J16:K16"/>
    <mergeCell ref="X20:Y20"/>
    <mergeCell ref="V22:W22"/>
    <mergeCell ref="X22:Y22"/>
    <mergeCell ref="Z22:AA22"/>
    <mergeCell ref="AB20:AC20"/>
    <mergeCell ref="Z20:AA20"/>
    <mergeCell ref="L20:M20"/>
    <mergeCell ref="N22:O22"/>
    <mergeCell ref="N20:O20"/>
    <mergeCell ref="P20:Q20"/>
    <mergeCell ref="R20:S20"/>
    <mergeCell ref="T20:U20"/>
    <mergeCell ref="V20:W20"/>
    <mergeCell ref="P22:Q22"/>
    <mergeCell ref="R22:S22"/>
    <mergeCell ref="T22:U22"/>
    <mergeCell ref="L22:M22"/>
    <mergeCell ref="AB22:AC22"/>
    <mergeCell ref="V16:W16"/>
    <mergeCell ref="X16:Y16"/>
    <mergeCell ref="Z16:AA16"/>
    <mergeCell ref="AB16:AC16"/>
    <mergeCell ref="L16:M16"/>
    <mergeCell ref="N16:O16"/>
    <mergeCell ref="P16:Q16"/>
    <mergeCell ref="R16:S16"/>
    <mergeCell ref="T16:U16"/>
    <mergeCell ref="V26:W26"/>
    <mergeCell ref="X26:Y26"/>
    <mergeCell ref="Z26:AA26"/>
    <mergeCell ref="D26:E26"/>
    <mergeCell ref="H26:I26"/>
    <mergeCell ref="J26:K26"/>
    <mergeCell ref="L26:M26"/>
    <mergeCell ref="N26:O26"/>
    <mergeCell ref="P26:Q26"/>
    <mergeCell ref="R26:S26"/>
    <mergeCell ref="T26:U26"/>
    <mergeCell ref="D33:E33"/>
    <mergeCell ref="F33:G33"/>
    <mergeCell ref="H33:I33"/>
    <mergeCell ref="J33:K33"/>
    <mergeCell ref="L33:M33"/>
    <mergeCell ref="X33:Y33"/>
    <mergeCell ref="Z33:AA33"/>
    <mergeCell ref="AB33:AC33"/>
    <mergeCell ref="N33:O33"/>
    <mergeCell ref="P33:Q33"/>
    <mergeCell ref="R33:S33"/>
    <mergeCell ref="T33:U33"/>
    <mergeCell ref="V33:W33"/>
    <mergeCell ref="D37:E37"/>
    <mergeCell ref="F37:G37"/>
    <mergeCell ref="H37:I37"/>
    <mergeCell ref="J37:K37"/>
    <mergeCell ref="L37:M37"/>
    <mergeCell ref="X37:Y37"/>
    <mergeCell ref="Z37:AA37"/>
    <mergeCell ref="AB37:AC37"/>
    <mergeCell ref="AD37:AE37"/>
    <mergeCell ref="N37:O37"/>
    <mergeCell ref="P37:Q37"/>
    <mergeCell ref="R37:S37"/>
    <mergeCell ref="T37:U37"/>
    <mergeCell ref="V37:W37"/>
    <mergeCell ref="N43:O43"/>
    <mergeCell ref="P43:Q43"/>
    <mergeCell ref="R43:S43"/>
    <mergeCell ref="T43:U43"/>
    <mergeCell ref="V43:W43"/>
    <mergeCell ref="D39:E39"/>
    <mergeCell ref="F39:G39"/>
    <mergeCell ref="H39:I39"/>
    <mergeCell ref="J39:K39"/>
    <mergeCell ref="L39:M39"/>
    <mergeCell ref="D43:E43"/>
    <mergeCell ref="F43:G43"/>
    <mergeCell ref="H43:I43"/>
    <mergeCell ref="J43:K43"/>
    <mergeCell ref="L43:M43"/>
    <mergeCell ref="N39:O39"/>
    <mergeCell ref="P39:Q39"/>
    <mergeCell ref="R39:S39"/>
    <mergeCell ref="X43:Y43"/>
    <mergeCell ref="Z43:AA43"/>
    <mergeCell ref="AB43:AC43"/>
    <mergeCell ref="AD43:AE43"/>
    <mergeCell ref="X39:Y39"/>
    <mergeCell ref="Z39:AA39"/>
    <mergeCell ref="AB39:AC39"/>
    <mergeCell ref="AD39:AE39"/>
    <mergeCell ref="T39:U39"/>
    <mergeCell ref="V39:W39"/>
    <mergeCell ref="AH20:AI20"/>
    <mergeCell ref="AH22:AI22"/>
    <mergeCell ref="AD33:AE33"/>
    <mergeCell ref="AB26:AC26"/>
    <mergeCell ref="AD26:AE26"/>
    <mergeCell ref="AD16:AE16"/>
    <mergeCell ref="AF39:AG39"/>
    <mergeCell ref="AF43:AG43"/>
    <mergeCell ref="AH43:AI43"/>
    <mergeCell ref="AH26:AI26"/>
    <mergeCell ref="AH33:AI33"/>
    <mergeCell ref="AH37:AI37"/>
    <mergeCell ref="AH39:AI39"/>
    <mergeCell ref="AH16:AI16"/>
    <mergeCell ref="AD20:AE20"/>
    <mergeCell ref="AD22:AE22"/>
    <mergeCell ref="AF16:AG16"/>
    <mergeCell ref="AF20:AG20"/>
    <mergeCell ref="AF22:AG22"/>
    <mergeCell ref="AF26:AG26"/>
    <mergeCell ref="AF33:AG33"/>
    <mergeCell ref="AF37:AG37"/>
  </mergeCells>
  <phoneticPr fontId="2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E7952-7A3C-4A86-974D-776CDDB265C1}">
  <sheetPr codeName="Sheet4">
    <tabColor rgb="FF4472C4"/>
  </sheetPr>
  <dimension ref="A1:F139"/>
  <sheetViews>
    <sheetView workbookViewId="0">
      <selection activeCell="D10" sqref="D10"/>
    </sheetView>
  </sheetViews>
  <sheetFormatPr defaultRowHeight="14.5" x14ac:dyDescent="0.35"/>
  <cols>
    <col min="1" max="1" width="1.453125" customWidth="1"/>
    <col min="2" max="2" width="78.54296875" customWidth="1"/>
    <col min="3" max="3" width="24.453125" style="7" customWidth="1"/>
    <col min="4" max="4" width="17.453125" style="27" customWidth="1"/>
    <col min="5" max="5" width="86" style="7" customWidth="1"/>
    <col min="6" max="6" width="11" bestFit="1" customWidth="1"/>
  </cols>
  <sheetData>
    <row r="1" spans="1:6" x14ac:dyDescent="0.35">
      <c r="A1" s="793"/>
      <c r="B1" s="793"/>
      <c r="C1" s="3"/>
      <c r="D1" s="57"/>
      <c r="E1" s="3"/>
      <c r="F1" s="1"/>
    </row>
    <row r="2" spans="1:6" x14ac:dyDescent="0.35">
      <c r="A2" s="2"/>
      <c r="B2" s="2" t="s">
        <v>35</v>
      </c>
      <c r="C2" s="2" t="s">
        <v>45</v>
      </c>
      <c r="D2" s="618" t="s">
        <v>36</v>
      </c>
      <c r="E2" s="2" t="s">
        <v>82</v>
      </c>
      <c r="F2" s="1"/>
    </row>
    <row r="3" spans="1:6" x14ac:dyDescent="0.35">
      <c r="A3" s="807" t="s">
        <v>83</v>
      </c>
      <c r="B3" s="807"/>
      <c r="C3" s="3"/>
      <c r="D3" s="57"/>
      <c r="E3" s="3"/>
      <c r="F3" s="1"/>
    </row>
    <row r="4" spans="1:6" x14ac:dyDescent="0.35">
      <c r="A4" s="66"/>
      <c r="B4" s="617" t="s">
        <v>84</v>
      </c>
      <c r="C4" s="3"/>
      <c r="D4" s="57"/>
      <c r="E4" s="3"/>
      <c r="F4" s="1"/>
    </row>
    <row r="5" spans="1:6" x14ac:dyDescent="0.35">
      <c r="A5" s="66"/>
      <c r="B5" s="327" t="s">
        <v>85</v>
      </c>
      <c r="C5" s="580" t="s">
        <v>86</v>
      </c>
      <c r="D5" s="328">
        <f>1000000</f>
        <v>1000000</v>
      </c>
      <c r="E5" s="801" t="s">
        <v>87</v>
      </c>
      <c r="F5" s="1"/>
    </row>
    <row r="6" spans="1:6" x14ac:dyDescent="0.35">
      <c r="A6" s="66"/>
      <c r="B6" s="327" t="s">
        <v>88</v>
      </c>
      <c r="C6" s="580" t="s">
        <v>89</v>
      </c>
      <c r="D6" s="661">
        <v>0.90718500000000002</v>
      </c>
      <c r="E6" s="801"/>
      <c r="F6" s="1"/>
    </row>
    <row r="7" spans="1:6" x14ac:dyDescent="0.35">
      <c r="A7" s="66"/>
      <c r="B7" s="327" t="s">
        <v>90</v>
      </c>
      <c r="C7" s="580" t="s">
        <v>91</v>
      </c>
      <c r="D7" s="329">
        <v>256</v>
      </c>
      <c r="E7" s="373" t="s">
        <v>92</v>
      </c>
      <c r="F7" s="1"/>
    </row>
    <row r="8" spans="1:6" x14ac:dyDescent="0.35">
      <c r="A8" s="1"/>
      <c r="B8" s="25" t="s">
        <v>93</v>
      </c>
      <c r="C8" s="56" t="s">
        <v>94</v>
      </c>
      <c r="D8" s="58">
        <v>2024</v>
      </c>
      <c r="E8" s="5" t="s">
        <v>95</v>
      </c>
      <c r="F8" s="1"/>
    </row>
    <row r="9" spans="1:6" ht="14.9" customHeight="1" x14ac:dyDescent="0.35">
      <c r="A9" s="1"/>
      <c r="B9" s="25" t="s">
        <v>96</v>
      </c>
      <c r="C9" s="56" t="s">
        <v>94</v>
      </c>
      <c r="D9" s="58">
        <f>'Project Schedule'!$G$17</f>
        <v>2028</v>
      </c>
      <c r="E9" s="796"/>
      <c r="F9" s="1"/>
    </row>
    <row r="10" spans="1:6" ht="14.15" customHeight="1" x14ac:dyDescent="0.35">
      <c r="A10" s="1"/>
      <c r="B10" s="25" t="s">
        <v>97</v>
      </c>
      <c r="C10" s="56" t="s">
        <v>98</v>
      </c>
      <c r="D10" s="58">
        <f>'Project Schedule'!$H$17</f>
        <v>2032</v>
      </c>
      <c r="E10" s="796"/>
      <c r="F10" s="1"/>
    </row>
    <row r="11" spans="1:6" ht="14.9" customHeight="1" x14ac:dyDescent="0.35">
      <c r="A11" s="1"/>
      <c r="B11" s="25" t="s">
        <v>99</v>
      </c>
      <c r="C11" s="56" t="s">
        <v>94</v>
      </c>
      <c r="D11" s="58">
        <f>D10+1</f>
        <v>2033</v>
      </c>
      <c r="E11" s="796"/>
      <c r="F11" s="1"/>
    </row>
    <row r="12" spans="1:6" ht="14.9" customHeight="1" x14ac:dyDescent="0.35">
      <c r="A12" s="1"/>
      <c r="B12" s="25" t="s">
        <v>100</v>
      </c>
      <c r="C12" s="56" t="s">
        <v>101</v>
      </c>
      <c r="D12" s="58">
        <f>'Project Schedule'!$G$13</f>
        <v>2028</v>
      </c>
      <c r="E12" s="796"/>
      <c r="F12" s="1"/>
    </row>
    <row r="13" spans="1:6" ht="14.9" customHeight="1" x14ac:dyDescent="0.35">
      <c r="A13" s="1"/>
      <c r="B13" s="25" t="s">
        <v>102</v>
      </c>
      <c r="C13" s="56" t="s">
        <v>101</v>
      </c>
      <c r="D13" s="58">
        <f>D11+D14-1</f>
        <v>2052</v>
      </c>
      <c r="E13" s="796"/>
      <c r="F13" s="1"/>
    </row>
    <row r="14" spans="1:6" ht="14.9" customHeight="1" x14ac:dyDescent="0.35">
      <c r="A14" s="1"/>
      <c r="B14" s="25" t="s">
        <v>103</v>
      </c>
      <c r="C14" s="56" t="s">
        <v>98</v>
      </c>
      <c r="D14" s="58">
        <v>20</v>
      </c>
      <c r="E14" s="796"/>
      <c r="F14" s="1"/>
    </row>
    <row r="15" spans="1:6" x14ac:dyDescent="0.35">
      <c r="A15" s="1"/>
      <c r="B15" s="25" t="s">
        <v>104</v>
      </c>
      <c r="C15" s="56" t="s">
        <v>77</v>
      </c>
      <c r="D15" s="589">
        <f>IF('Sensitivity Analysis'!C5="Yes",3.1%,USDOTBCA_GuidanceFY2026!$D$9)</f>
        <v>7.0000000000000007E-2</v>
      </c>
      <c r="E15" s="5" t="s">
        <v>95</v>
      </c>
      <c r="F15" s="1"/>
    </row>
    <row r="16" spans="1:6" x14ac:dyDescent="0.35">
      <c r="A16" s="1"/>
      <c r="F16" s="1"/>
    </row>
    <row r="17" spans="1:6" ht="5.9" customHeight="1" thickBot="1" x14ac:dyDescent="0.4">
      <c r="A17" s="4"/>
      <c r="B17" s="4"/>
      <c r="C17" s="4"/>
      <c r="D17" s="59"/>
      <c r="E17" s="4"/>
      <c r="F17" s="1"/>
    </row>
    <row r="18" spans="1:6" ht="17.149999999999999" customHeight="1" x14ac:dyDescent="0.35">
      <c r="A18" s="28"/>
      <c r="B18" s="28"/>
      <c r="C18" s="28"/>
      <c r="D18" s="60"/>
      <c r="E18" s="28"/>
      <c r="F18" s="1"/>
    </row>
    <row r="19" spans="1:6" x14ac:dyDescent="0.35">
      <c r="A19" s="9" t="s">
        <v>105</v>
      </c>
      <c r="B19" s="1"/>
      <c r="C19" s="3"/>
      <c r="D19" s="57"/>
      <c r="E19" s="5"/>
      <c r="F19" s="1"/>
    </row>
    <row r="20" spans="1:6" x14ac:dyDescent="0.35">
      <c r="A20" s="8" t="s">
        <v>106</v>
      </c>
    </row>
    <row r="21" spans="1:6" x14ac:dyDescent="0.35">
      <c r="A21" s="1"/>
      <c r="B21" s="25" t="s">
        <v>107</v>
      </c>
      <c r="C21" s="56" t="s">
        <v>108</v>
      </c>
      <c r="D21" s="58">
        <v>2</v>
      </c>
      <c r="E21" s="5" t="s">
        <v>87</v>
      </c>
      <c r="F21" s="1"/>
    </row>
    <row r="22" spans="1:6" x14ac:dyDescent="0.35">
      <c r="A22" s="1"/>
      <c r="B22" s="25" t="s">
        <v>109</v>
      </c>
      <c r="C22" s="56" t="s">
        <v>77</v>
      </c>
      <c r="D22" s="589">
        <f>IF('Sensitivity Analysis'!C8="Yes",'Truck FAF Data'!$M$19*50%,IF('Sensitivity Analysis'!C9="Yes",0,'Truck FAF Data'!$M$19))</f>
        <v>3.1967238428903366E-2</v>
      </c>
      <c r="E22" s="5" t="s">
        <v>110</v>
      </c>
      <c r="F22" s="1"/>
    </row>
    <row r="23" spans="1:6" x14ac:dyDescent="0.35">
      <c r="A23" s="1"/>
      <c r="B23" s="25" t="s">
        <v>111</v>
      </c>
      <c r="C23" s="56" t="s">
        <v>112</v>
      </c>
      <c r="D23" s="58">
        <v>2024</v>
      </c>
      <c r="E23" s="5" t="s">
        <v>113</v>
      </c>
      <c r="F23" s="1"/>
    </row>
    <row r="24" spans="1:6" x14ac:dyDescent="0.35">
      <c r="A24" s="1"/>
      <c r="B24" s="25" t="s">
        <v>114</v>
      </c>
      <c r="C24" s="56" t="s">
        <v>115</v>
      </c>
      <c r="D24" s="58">
        <v>5</v>
      </c>
      <c r="E24" s="5" t="s">
        <v>116</v>
      </c>
      <c r="F24" s="1"/>
    </row>
    <row r="25" spans="1:6" x14ac:dyDescent="0.35">
      <c r="A25" s="1"/>
      <c r="B25" s="25" t="s">
        <v>117</v>
      </c>
      <c r="C25" s="56" t="s">
        <v>118</v>
      </c>
      <c r="D25" s="58">
        <v>19</v>
      </c>
      <c r="E25" s="5" t="s">
        <v>119</v>
      </c>
      <c r="F25" s="1"/>
    </row>
    <row r="26" spans="1:6" x14ac:dyDescent="0.35">
      <c r="A26" s="1"/>
      <c r="B26" s="1"/>
      <c r="C26" s="3"/>
      <c r="D26" s="65"/>
      <c r="E26" s="5"/>
      <c r="F26" s="1"/>
    </row>
    <row r="27" spans="1:6" x14ac:dyDescent="0.35">
      <c r="A27" s="9" t="s">
        <v>120</v>
      </c>
      <c r="B27" s="1"/>
      <c r="C27" s="3"/>
      <c r="D27" s="57"/>
      <c r="E27" s="5"/>
      <c r="F27" s="1"/>
    </row>
    <row r="28" spans="1:6" x14ac:dyDescent="0.35">
      <c r="A28" s="9"/>
      <c r="B28" s="25" t="s">
        <v>121</v>
      </c>
      <c r="C28" s="56" t="s">
        <v>122</v>
      </c>
      <c r="D28" s="338">
        <f>'Miles Analysis'!$L$9</f>
        <v>23522533.315789472</v>
      </c>
      <c r="E28" s="796" t="s">
        <v>113</v>
      </c>
      <c r="F28" s="1"/>
    </row>
    <row r="29" spans="1:6" x14ac:dyDescent="0.35">
      <c r="A29" s="9"/>
      <c r="B29" s="25" t="s">
        <v>123</v>
      </c>
      <c r="C29" s="56" t="s">
        <v>122</v>
      </c>
      <c r="D29" s="338">
        <f>'Miles Analysis'!$AA$9</f>
        <v>20474965.314526312</v>
      </c>
      <c r="E29" s="796"/>
      <c r="F29" s="1"/>
    </row>
    <row r="30" spans="1:6" x14ac:dyDescent="0.35">
      <c r="A30" s="9"/>
      <c r="B30" s="25" t="s">
        <v>124</v>
      </c>
      <c r="C30" s="56" t="s">
        <v>122</v>
      </c>
      <c r="D30" s="338">
        <f>(D29-D28)/D24</f>
        <v>-609513.60025263205</v>
      </c>
      <c r="E30" s="796"/>
      <c r="F30" s="1"/>
    </row>
    <row r="31" spans="1:6" x14ac:dyDescent="0.35">
      <c r="A31" s="9"/>
      <c r="B31" s="25" t="s">
        <v>125</v>
      </c>
      <c r="C31" s="56" t="s">
        <v>122</v>
      </c>
      <c r="D31" s="338">
        <f>'Miles Analysis'!$H$9</f>
        <v>200.67997365671101</v>
      </c>
      <c r="E31" s="796"/>
      <c r="F31" s="1"/>
    </row>
    <row r="32" spans="1:6" x14ac:dyDescent="0.35">
      <c r="A32" s="1"/>
      <c r="B32" s="25" t="s">
        <v>126</v>
      </c>
      <c r="C32" s="56" t="s">
        <v>127</v>
      </c>
      <c r="D32" s="58">
        <v>55</v>
      </c>
      <c r="E32" s="5" t="s">
        <v>128</v>
      </c>
      <c r="F32" s="1"/>
    </row>
    <row r="33" spans="1:6" x14ac:dyDescent="0.35">
      <c r="B33" s="1"/>
      <c r="C33" s="3"/>
    </row>
    <row r="34" spans="1:6" x14ac:dyDescent="0.35">
      <c r="A34" s="9" t="s">
        <v>129</v>
      </c>
      <c r="B34" s="1"/>
      <c r="C34" s="3"/>
    </row>
    <row r="35" spans="1:6" x14ac:dyDescent="0.35">
      <c r="B35" s="25" t="s">
        <v>130</v>
      </c>
      <c r="C35" s="56" t="s">
        <v>131</v>
      </c>
      <c r="D35" s="573">
        <f>'Miles Analysis'!$K$9</f>
        <v>15465.501631578945</v>
      </c>
      <c r="E35" s="796" t="s">
        <v>113</v>
      </c>
    </row>
    <row r="36" spans="1:6" x14ac:dyDescent="0.35">
      <c r="B36" s="25" t="s">
        <v>132</v>
      </c>
      <c r="C36" s="56" t="s">
        <v>133</v>
      </c>
      <c r="D36" s="573">
        <f>'Miles Analysis'!$I$9</f>
        <v>259.13394658347437</v>
      </c>
      <c r="E36" s="796"/>
    </row>
    <row r="37" spans="1:6" x14ac:dyDescent="0.35">
      <c r="B37" s="25" t="s">
        <v>134</v>
      </c>
      <c r="C37" s="56" t="s">
        <v>133</v>
      </c>
      <c r="D37" s="573">
        <f>D35*D36</f>
        <v>4007636.4736842141</v>
      </c>
      <c r="E37" s="796"/>
    </row>
    <row r="38" spans="1:6" x14ac:dyDescent="0.35">
      <c r="B38" s="25" t="s">
        <v>135</v>
      </c>
      <c r="C38" s="56" t="s">
        <v>133</v>
      </c>
      <c r="D38" s="573">
        <f>D25*D37</f>
        <v>76145093.00000006</v>
      </c>
      <c r="E38" s="796"/>
    </row>
    <row r="39" spans="1:6" x14ac:dyDescent="0.35">
      <c r="B39" s="25" t="s">
        <v>136</v>
      </c>
      <c r="C39" s="56" t="s">
        <v>137</v>
      </c>
      <c r="D39" s="573">
        <f>'Miles Analysis'!$K$9/$D$46</f>
        <v>94.301839216944785</v>
      </c>
      <c r="E39" s="796"/>
    </row>
    <row r="40" spans="1:6" x14ac:dyDescent="0.35">
      <c r="B40" s="25" t="s">
        <v>138</v>
      </c>
      <c r="C40" s="56" t="s">
        <v>131</v>
      </c>
      <c r="D40" s="573">
        <f>'Miles Analysis'!$Z$9</f>
        <v>38908.332410526324</v>
      </c>
      <c r="E40" s="796"/>
    </row>
    <row r="41" spans="1:6" x14ac:dyDescent="0.35">
      <c r="A41" s="9"/>
      <c r="B41" s="25" t="s">
        <v>139</v>
      </c>
      <c r="C41" s="56" t="s">
        <v>137</v>
      </c>
      <c r="D41" s="573">
        <f>'Miles Analysis'!$Z$9/$D$46</f>
        <v>237.24592933247757</v>
      </c>
      <c r="E41" s="796"/>
    </row>
    <row r="42" spans="1:6" x14ac:dyDescent="0.35">
      <c r="A42" s="9"/>
      <c r="B42" s="25" t="s">
        <v>140</v>
      </c>
      <c r="C42" s="56" t="s">
        <v>133</v>
      </c>
      <c r="D42" s="338">
        <f>$D$35/$D$46*$D$45</f>
        <v>15559.803470795889</v>
      </c>
      <c r="E42" s="796"/>
    </row>
    <row r="43" spans="1:6" x14ac:dyDescent="0.35">
      <c r="A43" s="9"/>
      <c r="B43" s="25" t="s">
        <v>141</v>
      </c>
      <c r="C43" s="56" t="s">
        <v>133</v>
      </c>
      <c r="D43" s="338">
        <f>$D$40/$D$46*$D$45</f>
        <v>39145.578339858803</v>
      </c>
      <c r="E43" s="796"/>
    </row>
    <row r="44" spans="1:6" x14ac:dyDescent="0.35">
      <c r="A44" s="9"/>
      <c r="B44" s="25" t="s">
        <v>142</v>
      </c>
      <c r="C44" s="56" t="s">
        <v>133</v>
      </c>
      <c r="D44" s="338">
        <f>(D43-D42)/D24</f>
        <v>4717.1549738125832</v>
      </c>
      <c r="E44" s="796"/>
    </row>
    <row r="45" spans="1:6" x14ac:dyDescent="0.35">
      <c r="A45" s="9"/>
      <c r="B45" s="14" t="s">
        <v>143</v>
      </c>
      <c r="C45" s="35" t="s">
        <v>144</v>
      </c>
      <c r="D45" s="61">
        <v>165</v>
      </c>
      <c r="E45" s="7" t="s">
        <v>145</v>
      </c>
    </row>
    <row r="46" spans="1:6" x14ac:dyDescent="0.35">
      <c r="A46" s="1"/>
      <c r="B46" s="25" t="s">
        <v>146</v>
      </c>
      <c r="C46" s="56" t="s">
        <v>147</v>
      </c>
      <c r="D46" s="58">
        <v>164</v>
      </c>
      <c r="E46" s="5" t="s">
        <v>148</v>
      </c>
      <c r="F46" s="1"/>
    </row>
    <row r="47" spans="1:6" x14ac:dyDescent="0.35">
      <c r="A47" s="1"/>
      <c r="B47" s="25" t="s">
        <v>149</v>
      </c>
      <c r="C47" s="56" t="s">
        <v>127</v>
      </c>
      <c r="D47" s="58">
        <v>24.5</v>
      </c>
      <c r="E47" s="5" t="s">
        <v>150</v>
      </c>
      <c r="F47" s="1" t="s">
        <v>151</v>
      </c>
    </row>
    <row r="48" spans="1:6" x14ac:dyDescent="0.35">
      <c r="A48" s="1"/>
      <c r="B48" s="25" t="s">
        <v>152</v>
      </c>
      <c r="C48" s="56" t="s">
        <v>153</v>
      </c>
      <c r="D48" s="58">
        <v>535</v>
      </c>
      <c r="E48" s="5" t="s">
        <v>154</v>
      </c>
      <c r="F48" s="510" t="s">
        <v>151</v>
      </c>
    </row>
    <row r="49" spans="1:6" x14ac:dyDescent="0.35">
      <c r="A49" s="1"/>
      <c r="B49" s="25" t="s">
        <v>155</v>
      </c>
      <c r="C49" s="56" t="s">
        <v>77</v>
      </c>
      <c r="D49" s="574">
        <v>0.21</v>
      </c>
      <c r="E49" s="796" t="s">
        <v>156</v>
      </c>
      <c r="F49" s="1"/>
    </row>
    <row r="50" spans="1:6" x14ac:dyDescent="0.35">
      <c r="A50" s="1"/>
      <c r="B50" s="25" t="s">
        <v>157</v>
      </c>
      <c r="C50" s="56" t="s">
        <v>77</v>
      </c>
      <c r="D50" s="590">
        <f>IF('Sensitivity Analysis'!C10="Yes",20%*1.5,IF('Sensitivity Analysis'!C11="Yes",20%*0.5,20%))</f>
        <v>0.2</v>
      </c>
      <c r="E50" s="796"/>
      <c r="F50" s="1"/>
    </row>
    <row r="51" spans="1:6" x14ac:dyDescent="0.35">
      <c r="A51" s="1"/>
      <c r="B51" s="25" t="s">
        <v>158</v>
      </c>
      <c r="C51" s="56" t="s">
        <v>144</v>
      </c>
      <c r="D51" s="61">
        <v>165</v>
      </c>
      <c r="E51" s="801" t="s">
        <v>159</v>
      </c>
      <c r="F51" s="673"/>
    </row>
    <row r="52" spans="1:6" x14ac:dyDescent="0.35">
      <c r="A52" s="1"/>
      <c r="B52" s="739" t="s">
        <v>1096</v>
      </c>
      <c r="C52" s="740" t="s">
        <v>144</v>
      </c>
      <c r="D52" s="741">
        <v>346</v>
      </c>
      <c r="E52" s="801"/>
      <c r="F52" s="1"/>
    </row>
    <row r="53" spans="1:6" x14ac:dyDescent="0.35">
      <c r="A53" s="1"/>
      <c r="B53" s="25" t="s">
        <v>160</v>
      </c>
      <c r="C53" s="56" t="s">
        <v>144</v>
      </c>
      <c r="D53" s="58">
        <v>35</v>
      </c>
      <c r="E53" s="5" t="s">
        <v>156</v>
      </c>
      <c r="F53" s="1"/>
    </row>
    <row r="54" spans="1:6" x14ac:dyDescent="0.35">
      <c r="A54" s="1"/>
      <c r="B54" s="1"/>
      <c r="C54" s="3"/>
      <c r="D54" s="57"/>
      <c r="E54" s="5"/>
      <c r="F54" s="1"/>
    </row>
    <row r="55" spans="1:6" x14ac:dyDescent="0.35">
      <c r="A55" s="1"/>
      <c r="B55" s="1"/>
      <c r="C55" s="3"/>
      <c r="D55" s="57"/>
      <c r="E55" s="5"/>
      <c r="F55" s="1"/>
    </row>
    <row r="56" spans="1:6" ht="5.15" customHeight="1" thickBot="1" x14ac:dyDescent="0.4">
      <c r="A56" s="4"/>
      <c r="B56" s="4"/>
      <c r="C56" s="4"/>
      <c r="D56" s="59"/>
      <c r="E56" s="4"/>
      <c r="F56" s="1"/>
    </row>
    <row r="57" spans="1:6" x14ac:dyDescent="0.35">
      <c r="A57" s="807" t="s">
        <v>161</v>
      </c>
      <c r="B57" s="807"/>
      <c r="C57" s="3"/>
      <c r="D57" s="57"/>
      <c r="E57" s="3"/>
      <c r="F57" s="1"/>
    </row>
    <row r="58" spans="1:6" x14ac:dyDescent="0.35">
      <c r="A58" s="1"/>
      <c r="B58" s="25" t="s">
        <v>162</v>
      </c>
      <c r="C58" s="54" t="s">
        <v>163</v>
      </c>
      <c r="D58" s="181">
        <f>USDOTBCA_GuidanceFY2026!C113</f>
        <v>1.52</v>
      </c>
      <c r="E58" s="796" t="s">
        <v>95</v>
      </c>
      <c r="F58" s="1"/>
    </row>
    <row r="59" spans="1:6" x14ac:dyDescent="0.35">
      <c r="A59" s="1"/>
      <c r="B59" s="25" t="s">
        <v>164</v>
      </c>
      <c r="C59" s="54" t="s">
        <v>163</v>
      </c>
      <c r="D59" s="58">
        <v>1</v>
      </c>
      <c r="E59" s="796"/>
      <c r="F59" s="1"/>
    </row>
    <row r="60" spans="1:6" x14ac:dyDescent="0.35">
      <c r="A60" s="1"/>
      <c r="B60" s="25" t="s">
        <v>165</v>
      </c>
      <c r="C60" s="54" t="s">
        <v>166</v>
      </c>
      <c r="D60" s="182">
        <f>USDOTBCA_GuidanceFY2026!C60</f>
        <v>20.100000000000001</v>
      </c>
      <c r="E60" s="796"/>
      <c r="F60" s="1"/>
    </row>
    <row r="61" spans="1:6" x14ac:dyDescent="0.35">
      <c r="A61" s="1"/>
      <c r="B61" s="25" t="s">
        <v>167</v>
      </c>
      <c r="C61" s="54" t="s">
        <v>166</v>
      </c>
      <c r="D61" s="182">
        <f>USDOTBCA_GuidanceFY2026!C61</f>
        <v>34.6</v>
      </c>
      <c r="E61" s="796"/>
      <c r="F61" s="1"/>
    </row>
    <row r="62" spans="1:6" x14ac:dyDescent="0.35">
      <c r="A62" s="1"/>
      <c r="B62" s="25" t="s">
        <v>168</v>
      </c>
      <c r="C62" s="54" t="s">
        <v>166</v>
      </c>
      <c r="D62" s="182">
        <f>USDOTBCA_GuidanceFY2026!C62</f>
        <v>21.8</v>
      </c>
      <c r="E62" s="796"/>
      <c r="F62" s="1"/>
    </row>
    <row r="63" spans="1:6" x14ac:dyDescent="0.35">
      <c r="A63" s="1"/>
      <c r="B63" s="25" t="s">
        <v>169</v>
      </c>
      <c r="C63" s="54" t="s">
        <v>166</v>
      </c>
      <c r="D63" s="182">
        <f>USDOTBCA_GuidanceFY2026!C67</f>
        <v>37.200000000000003</v>
      </c>
      <c r="E63" s="796"/>
      <c r="F63" s="1"/>
    </row>
    <row r="64" spans="1:6" ht="29" x14ac:dyDescent="0.35">
      <c r="A64" s="1"/>
      <c r="B64" s="25" t="s">
        <v>170</v>
      </c>
      <c r="C64" s="54" t="s">
        <v>166</v>
      </c>
      <c r="D64" s="182">
        <f>USDOTBCA_GuidanceFY2026!$C$151</f>
        <v>655</v>
      </c>
      <c r="E64" s="383" t="s">
        <v>171</v>
      </c>
      <c r="F64" s="1"/>
    </row>
    <row r="65" spans="1:6" x14ac:dyDescent="0.35">
      <c r="A65" s="1"/>
      <c r="B65" s="1"/>
      <c r="C65" s="5"/>
      <c r="D65" s="332"/>
      <c r="E65" s="5"/>
      <c r="F65" s="1"/>
    </row>
    <row r="66" spans="1:6" x14ac:dyDescent="0.35">
      <c r="A66" s="1"/>
      <c r="B66" s="1"/>
      <c r="C66" s="5"/>
      <c r="D66" s="332"/>
      <c r="E66" s="5"/>
      <c r="F66" s="1"/>
    </row>
    <row r="67" spans="1:6" ht="5.15" customHeight="1" thickBot="1" x14ac:dyDescent="0.4">
      <c r="A67" s="4"/>
      <c r="B67" s="4"/>
      <c r="C67" s="4"/>
      <c r="D67" s="59"/>
      <c r="E67" s="4"/>
      <c r="F67" s="1"/>
    </row>
    <row r="68" spans="1:6" x14ac:dyDescent="0.35">
      <c r="A68" s="807" t="s">
        <v>172</v>
      </c>
      <c r="B68" s="807"/>
      <c r="C68" s="3"/>
      <c r="D68" s="57"/>
      <c r="E68" s="3"/>
      <c r="F68" s="1"/>
    </row>
    <row r="69" spans="1:6" x14ac:dyDescent="0.35">
      <c r="A69" s="1"/>
      <c r="B69" s="25" t="s">
        <v>173</v>
      </c>
      <c r="C69" s="54" t="s">
        <v>174</v>
      </c>
      <c r="D69" s="182">
        <f>USDOTBCA_GuidanceFY2026!C124</f>
        <v>0.56000000000000005</v>
      </c>
      <c r="E69" s="810" t="s">
        <v>175</v>
      </c>
      <c r="F69" s="1"/>
    </row>
    <row r="70" spans="1:6" x14ac:dyDescent="0.35">
      <c r="A70" s="1"/>
      <c r="B70" s="25" t="s">
        <v>176</v>
      </c>
      <c r="C70" s="54" t="s">
        <v>174</v>
      </c>
      <c r="D70" s="182">
        <f>USDOTBCA_GuidanceFY2026!C125</f>
        <v>1.23</v>
      </c>
      <c r="E70" s="800"/>
      <c r="F70" s="1"/>
    </row>
    <row r="71" spans="1:6" ht="6" customHeight="1" thickBot="1" x14ac:dyDescent="0.4">
      <c r="A71" s="4"/>
      <c r="B71" s="4"/>
      <c r="C71" s="4"/>
      <c r="D71" s="59"/>
      <c r="E71" s="4"/>
      <c r="F71" s="1"/>
    </row>
    <row r="72" spans="1:6" x14ac:dyDescent="0.35">
      <c r="A72" s="806"/>
      <c r="B72" s="806"/>
      <c r="C72" s="3"/>
      <c r="D72" s="57"/>
      <c r="E72" s="3"/>
      <c r="F72" s="1"/>
    </row>
    <row r="73" spans="1:6" x14ac:dyDescent="0.35">
      <c r="A73" s="9" t="s">
        <v>177</v>
      </c>
      <c r="B73" s="1"/>
      <c r="C73" s="3"/>
      <c r="D73" s="57"/>
      <c r="E73" s="3"/>
      <c r="F73" s="1"/>
    </row>
    <row r="74" spans="1:6" x14ac:dyDescent="0.35">
      <c r="A74" s="9" t="s">
        <v>178</v>
      </c>
      <c r="B74" s="1"/>
      <c r="C74" s="3"/>
      <c r="D74" s="57"/>
      <c r="E74" s="3"/>
      <c r="F74" s="1"/>
    </row>
    <row r="75" spans="1:6" x14ac:dyDescent="0.35">
      <c r="A75" s="9"/>
      <c r="B75" s="25" t="s">
        <v>179</v>
      </c>
      <c r="C75" s="56" t="s">
        <v>180</v>
      </c>
      <c r="D75" s="802" t="s">
        <v>181</v>
      </c>
      <c r="E75" s="811" t="s">
        <v>182</v>
      </c>
      <c r="F75" s="1"/>
    </row>
    <row r="76" spans="1:6" x14ac:dyDescent="0.35">
      <c r="A76" s="9"/>
      <c r="B76" s="25" t="s">
        <v>183</v>
      </c>
      <c r="C76" s="56" t="s">
        <v>180</v>
      </c>
      <c r="D76" s="803"/>
      <c r="E76" s="811"/>
      <c r="F76" s="1"/>
    </row>
    <row r="77" spans="1:6" x14ac:dyDescent="0.35">
      <c r="A77" s="9"/>
      <c r="B77" s="25" t="s">
        <v>184</v>
      </c>
      <c r="C77" s="56" t="s">
        <v>180</v>
      </c>
      <c r="D77" s="804"/>
      <c r="E77" s="811"/>
      <c r="F77" s="1"/>
    </row>
    <row r="78" spans="1:6" x14ac:dyDescent="0.35">
      <c r="A78" s="9"/>
      <c r="B78" s="1"/>
      <c r="C78" s="3"/>
      <c r="D78" s="57"/>
      <c r="E78" s="3"/>
      <c r="F78" s="1"/>
    </row>
    <row r="79" spans="1:6" x14ac:dyDescent="0.35">
      <c r="A79" s="9" t="s">
        <v>129</v>
      </c>
      <c r="B79" s="1"/>
      <c r="C79" s="3"/>
      <c r="D79" s="57"/>
      <c r="E79" s="3"/>
      <c r="F79" s="1"/>
    </row>
    <row r="80" spans="1:6" x14ac:dyDescent="0.35">
      <c r="A80" s="9"/>
      <c r="B80" s="341" t="s">
        <v>185</v>
      </c>
      <c r="C80" s="56" t="s">
        <v>186</v>
      </c>
      <c r="D80" s="619">
        <v>20.8</v>
      </c>
      <c r="E80" s="809" t="s">
        <v>187</v>
      </c>
      <c r="F80" s="1"/>
    </row>
    <row r="81" spans="1:6" ht="16.5" x14ac:dyDescent="0.45">
      <c r="A81" s="9"/>
      <c r="B81" s="341" t="s">
        <v>188</v>
      </c>
      <c r="C81" s="56" t="s">
        <v>186</v>
      </c>
      <c r="D81" s="620">
        <v>0.30264000000000002</v>
      </c>
      <c r="E81" s="809"/>
      <c r="F81" s="1"/>
    </row>
    <row r="82" spans="1:6" ht="16.5" x14ac:dyDescent="0.45">
      <c r="A82" s="9"/>
      <c r="B82" s="342" t="s">
        <v>189</v>
      </c>
      <c r="C82" s="56" t="s">
        <v>186</v>
      </c>
      <c r="D82" s="620">
        <v>9.3899999999999997E-2</v>
      </c>
      <c r="E82" s="809"/>
      <c r="F82" s="1"/>
    </row>
    <row r="83" spans="1:6" x14ac:dyDescent="0.35">
      <c r="A83" s="9"/>
      <c r="B83" s="1"/>
      <c r="C83" s="3"/>
      <c r="D83" s="57"/>
      <c r="E83" s="3"/>
      <c r="F83" s="1"/>
    </row>
    <row r="84" spans="1:6" ht="43.5" x14ac:dyDescent="0.35">
      <c r="B84" s="25" t="s">
        <v>190</v>
      </c>
      <c r="C84" s="56" t="s">
        <v>191</v>
      </c>
      <c r="D84" s="166" t="s">
        <v>192</v>
      </c>
      <c r="E84" s="5" t="s">
        <v>95</v>
      </c>
      <c r="F84" s="1"/>
    </row>
    <row r="85" spans="1:6" x14ac:dyDescent="0.35">
      <c r="A85" s="1"/>
      <c r="B85" s="25" t="s">
        <v>193</v>
      </c>
      <c r="C85" s="56" t="s">
        <v>194</v>
      </c>
      <c r="D85" s="62">
        <v>0.90718474000000004</v>
      </c>
      <c r="E85" s="796" t="s">
        <v>87</v>
      </c>
      <c r="F85" s="1"/>
    </row>
    <row r="86" spans="1:6" x14ac:dyDescent="0.35">
      <c r="B86" s="25" t="s">
        <v>195</v>
      </c>
      <c r="C86" s="56" t="s">
        <v>196</v>
      </c>
      <c r="D86" s="58">
        <v>1000000</v>
      </c>
      <c r="E86" s="796"/>
      <c r="F86" s="1"/>
    </row>
    <row r="87" spans="1:6" ht="7.4" customHeight="1" thickBot="1" x14ac:dyDescent="0.4">
      <c r="A87" s="4"/>
      <c r="B87" s="4"/>
      <c r="C87" s="4"/>
      <c r="D87" s="59"/>
      <c r="E87" s="4"/>
      <c r="F87" s="1"/>
    </row>
    <row r="88" spans="1:6" x14ac:dyDescent="0.35">
      <c r="A88" s="806"/>
      <c r="B88" s="806"/>
      <c r="C88" s="3"/>
      <c r="D88" s="57"/>
      <c r="E88" s="3"/>
      <c r="F88" s="1"/>
    </row>
    <row r="89" spans="1:6" x14ac:dyDescent="0.35">
      <c r="A89" s="807" t="s">
        <v>197</v>
      </c>
      <c r="B89" s="807"/>
      <c r="C89" s="3"/>
      <c r="D89" s="57"/>
      <c r="F89" s="1"/>
    </row>
    <row r="90" spans="1:6" ht="29" x14ac:dyDescent="0.35">
      <c r="A90" s="66"/>
      <c r="B90" s="81" t="s">
        <v>198</v>
      </c>
      <c r="C90" s="56" t="s">
        <v>77</v>
      </c>
      <c r="D90" s="387">
        <f>(1+0.0799)^(1/(2023-2014))-1</f>
        <v>8.5775161261298916E-3</v>
      </c>
      <c r="E90" s="578" t="s">
        <v>199</v>
      </c>
      <c r="F90" s="1"/>
    </row>
    <row r="91" spans="1:6" ht="29.15" customHeight="1" x14ac:dyDescent="0.35">
      <c r="A91" s="66"/>
      <c r="B91" s="81" t="s">
        <v>200</v>
      </c>
      <c r="C91" s="56" t="s">
        <v>201</v>
      </c>
      <c r="D91" s="338">
        <v>72650000000</v>
      </c>
      <c r="E91" s="808" t="s">
        <v>202</v>
      </c>
      <c r="F91" s="1"/>
    </row>
    <row r="92" spans="1:6" x14ac:dyDescent="0.35">
      <c r="A92" s="66"/>
      <c r="B92" s="81" t="s">
        <v>203</v>
      </c>
      <c r="C92" s="56" t="s">
        <v>204</v>
      </c>
      <c r="D92" s="58">
        <f>AVERAGE(934,983,986,975,967)</f>
        <v>969</v>
      </c>
      <c r="E92" s="808"/>
      <c r="F92" s="1"/>
    </row>
    <row r="93" spans="1:6" x14ac:dyDescent="0.35">
      <c r="A93" s="66"/>
      <c r="B93" s="81" t="s">
        <v>205</v>
      </c>
      <c r="C93" s="56" t="s">
        <v>206</v>
      </c>
      <c r="D93" s="58">
        <v>893</v>
      </c>
      <c r="E93" s="808"/>
      <c r="F93" s="1"/>
    </row>
    <row r="94" spans="1:6" x14ac:dyDescent="0.35">
      <c r="A94" s="66"/>
      <c r="B94" s="81" t="s">
        <v>207</v>
      </c>
      <c r="C94" s="56" t="s">
        <v>204</v>
      </c>
      <c r="D94" s="58">
        <v>9</v>
      </c>
      <c r="E94" s="808"/>
      <c r="F94" s="1"/>
    </row>
    <row r="95" spans="1:6" x14ac:dyDescent="0.35">
      <c r="A95" s="66"/>
      <c r="B95" s="81" t="s">
        <v>208</v>
      </c>
      <c r="C95" s="56" t="s">
        <v>209</v>
      </c>
      <c r="D95" s="58">
        <v>30</v>
      </c>
      <c r="E95" s="808"/>
      <c r="F95" s="1"/>
    </row>
    <row r="96" spans="1:6" x14ac:dyDescent="0.35">
      <c r="A96" s="66"/>
      <c r="B96" s="81" t="s">
        <v>210</v>
      </c>
      <c r="C96" s="56" t="s">
        <v>211</v>
      </c>
      <c r="D96" s="339">
        <v>4655</v>
      </c>
      <c r="E96" s="808"/>
      <c r="F96" s="1"/>
    </row>
    <row r="97" spans="1:6" x14ac:dyDescent="0.35">
      <c r="A97" s="66"/>
      <c r="B97" s="81" t="s">
        <v>212</v>
      </c>
      <c r="C97" s="56" t="s">
        <v>209</v>
      </c>
      <c r="D97" s="339">
        <v>36601</v>
      </c>
      <c r="E97" s="808"/>
      <c r="F97" s="1"/>
    </row>
    <row r="98" spans="1:6" x14ac:dyDescent="0.35">
      <c r="A98" s="66"/>
      <c r="B98" s="81" t="s">
        <v>213</v>
      </c>
      <c r="C98" s="56" t="s">
        <v>214</v>
      </c>
      <c r="D98" s="58">
        <f>AVERAGE(1.38,1.37,1.39,1.36,1.33)</f>
        <v>1.3660000000000001</v>
      </c>
      <c r="E98" s="808"/>
      <c r="F98" s="1"/>
    </row>
    <row r="99" spans="1:6" x14ac:dyDescent="0.35">
      <c r="A99" s="66"/>
      <c r="B99" s="81" t="s">
        <v>215</v>
      </c>
      <c r="C99" s="56" t="s">
        <v>216</v>
      </c>
      <c r="D99" s="338">
        <f>549.527*1000000</f>
        <v>549527000</v>
      </c>
      <c r="E99" s="624" t="s">
        <v>217</v>
      </c>
      <c r="F99" s="1"/>
    </row>
    <row r="100" spans="1:6" x14ac:dyDescent="0.35">
      <c r="A100" s="66"/>
      <c r="B100" s="66"/>
      <c r="C100" s="3"/>
      <c r="D100" s="57"/>
      <c r="F100" s="1"/>
    </row>
    <row r="101" spans="1:6" x14ac:dyDescent="0.35">
      <c r="A101" s="66"/>
      <c r="B101" s="66" t="s">
        <v>218</v>
      </c>
      <c r="C101" s="3"/>
      <c r="D101" s="57"/>
      <c r="E101" s="3"/>
      <c r="F101" s="1"/>
    </row>
    <row r="102" spans="1:6" x14ac:dyDescent="0.35">
      <c r="A102" s="66"/>
      <c r="B102" s="340" t="s">
        <v>219</v>
      </c>
      <c r="C102" s="54" t="s">
        <v>220</v>
      </c>
      <c r="D102" s="183">
        <f>USDOTBCA_GuidanceFY2026!C31</f>
        <v>13700000</v>
      </c>
      <c r="E102" s="800" t="s">
        <v>95</v>
      </c>
      <c r="F102" s="1"/>
    </row>
    <row r="103" spans="1:6" x14ac:dyDescent="0.35">
      <c r="A103" s="66"/>
      <c r="B103" s="340" t="str">
        <f>USDOTBCA_GuidanceFY2026!B30</f>
        <v>A - Incapacitating</v>
      </c>
      <c r="C103" s="54" t="s">
        <v>221</v>
      </c>
      <c r="D103" s="183">
        <f>USDOTBCA_GuidanceFY2026!C30</f>
        <v>1302300</v>
      </c>
      <c r="E103" s="800"/>
      <c r="F103" s="1"/>
    </row>
    <row r="104" spans="1:6" x14ac:dyDescent="0.35">
      <c r="A104" s="66"/>
      <c r="B104" s="340" t="s">
        <v>222</v>
      </c>
      <c r="C104" s="54" t="s">
        <v>221</v>
      </c>
      <c r="D104" s="183">
        <f>USDOTBCA_GuidanceFY2026!C32</f>
        <v>238500</v>
      </c>
      <c r="E104" s="800"/>
      <c r="F104" s="1"/>
    </row>
    <row r="105" spans="1:6" x14ac:dyDescent="0.35">
      <c r="A105" s="66"/>
      <c r="B105" s="336"/>
      <c r="C105" s="5"/>
      <c r="D105" s="337"/>
      <c r="E105" s="5"/>
      <c r="F105" s="1"/>
    </row>
    <row r="106" spans="1:6" ht="9" customHeight="1" thickBot="1" x14ac:dyDescent="0.4">
      <c r="A106" s="4"/>
      <c r="C106" s="4"/>
      <c r="D106" s="59"/>
      <c r="E106" s="4"/>
      <c r="F106" s="1"/>
    </row>
    <row r="107" spans="1:6" x14ac:dyDescent="0.35">
      <c r="A107" s="806"/>
      <c r="B107" s="806"/>
      <c r="C107" s="3"/>
      <c r="D107" s="57"/>
      <c r="E107" s="3"/>
      <c r="F107" s="1"/>
    </row>
    <row r="108" spans="1:6" x14ac:dyDescent="0.35">
      <c r="A108" s="807" t="s">
        <v>223</v>
      </c>
      <c r="B108" s="807"/>
    </row>
    <row r="109" spans="1:6" x14ac:dyDescent="0.35">
      <c r="A109" s="66"/>
      <c r="B109" s="579" t="s">
        <v>224</v>
      </c>
      <c r="C109" s="797" t="s">
        <v>225</v>
      </c>
      <c r="D109" s="61">
        <f>'Residual Value Benefits '!E15</f>
        <v>20</v>
      </c>
      <c r="E109" s="796" t="s">
        <v>226</v>
      </c>
    </row>
    <row r="110" spans="1:6" x14ac:dyDescent="0.35">
      <c r="A110" s="66"/>
      <c r="B110" s="579" t="s">
        <v>227</v>
      </c>
      <c r="C110" s="798"/>
      <c r="D110" s="61">
        <f>'Residual Value Benefits '!E16</f>
        <v>17.5</v>
      </c>
      <c r="E110" s="796"/>
    </row>
    <row r="111" spans="1:6" x14ac:dyDescent="0.35">
      <c r="A111" s="66"/>
      <c r="B111" s="579" t="s">
        <v>228</v>
      </c>
      <c r="C111" s="798"/>
      <c r="D111" s="61">
        <f>'Residual Value Benefits '!E17</f>
        <v>2.5</v>
      </c>
      <c r="E111" s="796"/>
    </row>
    <row r="112" spans="1:6" x14ac:dyDescent="0.35">
      <c r="A112" s="66"/>
      <c r="B112" s="579" t="s">
        <v>229</v>
      </c>
      <c r="C112" s="798"/>
      <c r="D112" s="61">
        <f>'Residual Value Benefits '!E18</f>
        <v>27.5</v>
      </c>
      <c r="E112" s="796"/>
    </row>
    <row r="113" spans="1:6" x14ac:dyDescent="0.35">
      <c r="A113" s="66"/>
      <c r="B113" s="579" t="s">
        <v>230</v>
      </c>
      <c r="C113" s="798"/>
      <c r="D113" s="61">
        <f>'Residual Value Benefits '!E19</f>
        <v>5</v>
      </c>
      <c r="E113" s="796"/>
    </row>
    <row r="114" spans="1:6" x14ac:dyDescent="0.35">
      <c r="A114" s="66"/>
      <c r="B114" s="579" t="s">
        <v>224</v>
      </c>
      <c r="C114" s="798"/>
      <c r="D114" s="61">
        <f>'Residual Value Benefits '!E20</f>
        <v>20</v>
      </c>
      <c r="E114" s="796" t="s">
        <v>231</v>
      </c>
    </row>
    <row r="115" spans="1:6" x14ac:dyDescent="0.35">
      <c r="A115" s="66"/>
      <c r="B115" s="579" t="s">
        <v>227</v>
      </c>
      <c r="C115" s="798"/>
      <c r="D115" s="61">
        <f>'Residual Value Benefits '!E21</f>
        <v>17.5</v>
      </c>
      <c r="E115" s="796"/>
    </row>
    <row r="116" spans="1:6" x14ac:dyDescent="0.35">
      <c r="A116" s="66"/>
      <c r="B116" s="579" t="s">
        <v>228</v>
      </c>
      <c r="C116" s="798"/>
      <c r="D116" s="61">
        <f>'Residual Value Benefits '!E22</f>
        <v>2.5</v>
      </c>
      <c r="E116" s="796"/>
    </row>
    <row r="117" spans="1:6" x14ac:dyDescent="0.35">
      <c r="A117" s="66"/>
      <c r="B117" s="579" t="s">
        <v>229</v>
      </c>
      <c r="C117" s="798"/>
      <c r="D117" s="61">
        <f>'Residual Value Benefits '!E23</f>
        <v>27.5</v>
      </c>
      <c r="E117" s="796"/>
    </row>
    <row r="118" spans="1:6" x14ac:dyDescent="0.35">
      <c r="A118" s="66"/>
      <c r="B118" s="579" t="s">
        <v>230</v>
      </c>
      <c r="C118" s="798"/>
      <c r="D118" s="61">
        <f>'Residual Value Benefits '!E24</f>
        <v>5</v>
      </c>
      <c r="E118" s="796"/>
    </row>
    <row r="119" spans="1:6" x14ac:dyDescent="0.35">
      <c r="A119" s="66"/>
      <c r="B119" s="579" t="s">
        <v>232</v>
      </c>
      <c r="C119" s="799"/>
      <c r="D119" s="61">
        <f>'Residual Value Benefits '!E25</f>
        <v>5</v>
      </c>
      <c r="E119" s="796"/>
    </row>
    <row r="120" spans="1:6" ht="5.9" customHeight="1" thickBot="1" x14ac:dyDescent="0.4">
      <c r="A120" s="4"/>
      <c r="B120" s="4"/>
      <c r="C120" s="4"/>
      <c r="D120" s="59"/>
      <c r="E120" s="4"/>
      <c r="F120" s="1"/>
    </row>
    <row r="122" spans="1:6" x14ac:dyDescent="0.35">
      <c r="A122" s="805" t="s">
        <v>12</v>
      </c>
      <c r="B122" s="805"/>
    </row>
    <row r="123" spans="1:6" x14ac:dyDescent="0.35">
      <c r="A123" s="38"/>
      <c r="B123" s="14" t="s">
        <v>233</v>
      </c>
      <c r="C123" s="35" t="s">
        <v>234</v>
      </c>
      <c r="D123" s="176">
        <f>Costs!$D$22</f>
        <v>46443764.048794001</v>
      </c>
      <c r="E123" s="642" t="s">
        <v>235</v>
      </c>
    </row>
    <row r="124" spans="1:6" x14ac:dyDescent="0.35">
      <c r="B124" s="75"/>
    </row>
    <row r="125" spans="1:6" ht="5.9" customHeight="1" thickBot="1" x14ac:dyDescent="0.4">
      <c r="A125" s="4"/>
      <c r="B125" s="4"/>
      <c r="C125" s="4"/>
      <c r="D125" s="59"/>
      <c r="E125" s="4"/>
      <c r="F125" s="1"/>
    </row>
    <row r="126" spans="1:6" ht="16.5" customHeight="1" x14ac:dyDescent="0.35">
      <c r="A126" s="28"/>
      <c r="B126" s="28"/>
      <c r="C126" s="28"/>
      <c r="D126" s="60"/>
      <c r="E126" s="28"/>
      <c r="F126" s="1"/>
    </row>
    <row r="127" spans="1:6" ht="16.5" customHeight="1" x14ac:dyDescent="0.35">
      <c r="A127" s="190" t="s">
        <v>236</v>
      </c>
      <c r="B127" s="28"/>
      <c r="C127" s="28"/>
      <c r="D127" s="60"/>
      <c r="E127" s="28"/>
      <c r="F127" s="1"/>
    </row>
    <row r="128" spans="1:6" x14ac:dyDescent="0.35">
      <c r="B128" s="333" t="s">
        <v>237</v>
      </c>
      <c r="C128" s="35" t="s">
        <v>234</v>
      </c>
      <c r="D128" s="621">
        <f>USDOTBCA_GuidanceFY2026!C457</f>
        <v>0.36699999999999999</v>
      </c>
      <c r="E128" s="796" t="s">
        <v>95</v>
      </c>
    </row>
    <row r="129" spans="1:6" x14ac:dyDescent="0.35">
      <c r="B129" s="333" t="s">
        <v>238</v>
      </c>
      <c r="C129" s="35" t="s">
        <v>234</v>
      </c>
      <c r="D129" s="622">
        <f>USDOTBCA_GuidanceFY2026!C458</f>
        <v>0.08</v>
      </c>
      <c r="E129" s="796"/>
    </row>
    <row r="130" spans="1:6" x14ac:dyDescent="0.35">
      <c r="B130" s="333" t="s">
        <v>239</v>
      </c>
      <c r="C130" s="35"/>
      <c r="D130" s="623">
        <f>($D$137*D129)+($D$138*D128)</f>
        <v>0.13740000000000002</v>
      </c>
      <c r="E130" s="796"/>
    </row>
    <row r="131" spans="1:6" x14ac:dyDescent="0.35">
      <c r="B131" s="333" t="s">
        <v>240</v>
      </c>
      <c r="C131" s="35" t="s">
        <v>234</v>
      </c>
      <c r="D131" s="622">
        <f>USDOTBCA_GuidanceFY2026!D457</f>
        <v>4.65E-2</v>
      </c>
      <c r="E131" s="796"/>
    </row>
    <row r="132" spans="1:6" x14ac:dyDescent="0.35">
      <c r="B132" s="333" t="s">
        <v>241</v>
      </c>
      <c r="C132" s="35" t="s">
        <v>234</v>
      </c>
      <c r="D132" s="622">
        <f>USDOTBCA_GuidanceFY2026!D458</f>
        <v>3.8999999999999998E-3</v>
      </c>
      <c r="E132" s="796"/>
    </row>
    <row r="133" spans="1:6" x14ac:dyDescent="0.35">
      <c r="B133" s="333" t="s">
        <v>242</v>
      </c>
      <c r="C133" s="35"/>
      <c r="D133" s="623">
        <f>($D$137*D132)+($D$138*D131)</f>
        <v>1.242E-2</v>
      </c>
      <c r="E133" s="796"/>
    </row>
    <row r="134" spans="1:6" x14ac:dyDescent="0.35">
      <c r="B134" s="333" t="s">
        <v>243</v>
      </c>
      <c r="C134" s="35" t="s">
        <v>234</v>
      </c>
      <c r="D134" s="622">
        <f>USDOTBCA_GuidanceFY2026!F459</f>
        <v>3.7999999999999999E-2</v>
      </c>
      <c r="E134" s="796"/>
    </row>
    <row r="135" spans="1:6" x14ac:dyDescent="0.35">
      <c r="B135" s="333" t="s">
        <v>244</v>
      </c>
      <c r="C135" s="35" t="s">
        <v>234</v>
      </c>
      <c r="D135" s="622">
        <f>USDOTBCA_GuidanceFY2026!F459</f>
        <v>3.7999999999999999E-2</v>
      </c>
      <c r="E135" s="796"/>
    </row>
    <row r="136" spans="1:6" x14ac:dyDescent="0.35">
      <c r="B136" s="333" t="s">
        <v>245</v>
      </c>
      <c r="C136" s="35"/>
      <c r="D136" s="623">
        <f>($D$137*D135)+($D$138*D134)</f>
        <v>3.7999999999999999E-2</v>
      </c>
      <c r="E136" s="796"/>
    </row>
    <row r="137" spans="1:6" x14ac:dyDescent="0.35">
      <c r="B137" s="334" t="s">
        <v>246</v>
      </c>
      <c r="C137" s="335" t="s">
        <v>77</v>
      </c>
      <c r="D137" s="343">
        <v>0.8</v>
      </c>
      <c r="E137" s="795" t="s">
        <v>247</v>
      </c>
    </row>
    <row r="138" spans="1:6" x14ac:dyDescent="0.35">
      <c r="B138" s="334" t="s">
        <v>248</v>
      </c>
      <c r="C138" s="335" t="s">
        <v>77</v>
      </c>
      <c r="D138" s="343">
        <v>0.2</v>
      </c>
      <c r="E138" s="795"/>
    </row>
    <row r="139" spans="1:6" ht="5.9" customHeight="1" thickBot="1" x14ac:dyDescent="0.4">
      <c r="A139" s="4"/>
      <c r="B139" s="4"/>
      <c r="C139" s="4"/>
      <c r="D139" s="59"/>
      <c r="E139" s="4"/>
      <c r="F139" s="1"/>
    </row>
  </sheetData>
  <mergeCells count="29">
    <mergeCell ref="A68:B68"/>
    <mergeCell ref="A1:B1"/>
    <mergeCell ref="A3:B3"/>
    <mergeCell ref="A57:B57"/>
    <mergeCell ref="E109:E113"/>
    <mergeCell ref="E5:E6"/>
    <mergeCell ref="E28:E31"/>
    <mergeCell ref="E91:E98"/>
    <mergeCell ref="E80:E82"/>
    <mergeCell ref="E9:E14"/>
    <mergeCell ref="E69:E70"/>
    <mergeCell ref="E85:E86"/>
    <mergeCell ref="E58:E63"/>
    <mergeCell ref="E75:E77"/>
    <mergeCell ref="A122:B122"/>
    <mergeCell ref="A107:B107"/>
    <mergeCell ref="A72:B72"/>
    <mergeCell ref="A88:B88"/>
    <mergeCell ref="A108:B108"/>
    <mergeCell ref="A89:B89"/>
    <mergeCell ref="E137:E138"/>
    <mergeCell ref="E128:E136"/>
    <mergeCell ref="C109:C119"/>
    <mergeCell ref="E102:E104"/>
    <mergeCell ref="E35:E44"/>
    <mergeCell ref="E49:E50"/>
    <mergeCell ref="E51:E52"/>
    <mergeCell ref="D75:D77"/>
    <mergeCell ref="E114:E119"/>
  </mergeCells>
  <phoneticPr fontId="26" type="noConversion"/>
  <hyperlinks>
    <hyperlink ref="E80" r:id="rId1" xr:uid="{01BF2537-542D-4A3B-A5D3-D4BFFA9D6DC6}"/>
    <hyperlink ref="F48" r:id="rId2" xr:uid="{C665B0B9-5D4B-4316-893A-4B2B2FD6C007}"/>
  </hyperlink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97757-A1A1-4DD0-B335-E7B086B0B170}">
  <sheetPr codeName="Sheet29">
    <tabColor theme="4"/>
  </sheetPr>
  <dimension ref="A1:L28"/>
  <sheetViews>
    <sheetView workbookViewId="0">
      <selection activeCell="B3" sqref="B3"/>
    </sheetView>
  </sheetViews>
  <sheetFormatPr defaultRowHeight="14.5" x14ac:dyDescent="0.35"/>
  <cols>
    <col min="1" max="1" width="33.54296875" bestFit="1" customWidth="1"/>
    <col min="2" max="2" width="28.54296875" customWidth="1"/>
    <col min="3" max="3" width="9" customWidth="1"/>
    <col min="4" max="4" width="9.453125" customWidth="1"/>
    <col min="5" max="5" width="13.453125" customWidth="1"/>
    <col min="6" max="6" width="41.54296875" customWidth="1"/>
    <col min="7" max="7" width="14.1796875" customWidth="1"/>
    <col min="9" max="9" width="19.6328125" customWidth="1"/>
    <col min="11" max="11" width="22.36328125" customWidth="1"/>
    <col min="12" max="12" width="18.54296875" customWidth="1"/>
  </cols>
  <sheetData>
    <row r="1" spans="1:12" ht="21" x14ac:dyDescent="0.5">
      <c r="A1" s="394" t="s">
        <v>11</v>
      </c>
    </row>
    <row r="2" spans="1:12" ht="15.5" x14ac:dyDescent="0.35">
      <c r="A2" s="26" t="s">
        <v>249</v>
      </c>
      <c r="F2" s="8"/>
    </row>
    <row r="3" spans="1:12" x14ac:dyDescent="0.35">
      <c r="A3" s="14" t="s">
        <v>250</v>
      </c>
      <c r="B3" s="395">
        <f>'East Yard Cost'!$F$59*Inflation!$CX$9</f>
        <v>28679346.696114756</v>
      </c>
    </row>
    <row r="4" spans="1:12" x14ac:dyDescent="0.35">
      <c r="A4" s="14" t="s">
        <v>251</v>
      </c>
      <c r="B4" s="395">
        <f>'West Yard Cost'!$F$50*Inflation!$CX$9</f>
        <v>17764417.352679249</v>
      </c>
      <c r="F4" s="8"/>
    </row>
    <row r="5" spans="1:12" x14ac:dyDescent="0.35">
      <c r="A5" s="396" t="s">
        <v>252</v>
      </c>
      <c r="B5" s="397">
        <f>B3+B4</f>
        <v>46443764.048794001</v>
      </c>
    </row>
    <row r="6" spans="1:12" x14ac:dyDescent="0.35">
      <c r="F6" s="8"/>
    </row>
    <row r="7" spans="1:12" x14ac:dyDescent="0.35">
      <c r="A7" s="398" t="s">
        <v>253</v>
      </c>
      <c r="B7" s="399"/>
      <c r="C7" s="399"/>
      <c r="D7" s="400"/>
    </row>
    <row r="8" spans="1:12" ht="15.65" customHeight="1" x14ac:dyDescent="0.35">
      <c r="A8" s="14" t="s">
        <v>254</v>
      </c>
      <c r="B8" s="695">
        <v>2420</v>
      </c>
      <c r="C8" s="14" t="s">
        <v>255</v>
      </c>
      <c r="D8" s="14"/>
      <c r="I8" s="513"/>
      <c r="K8" s="514"/>
    </row>
    <row r="9" spans="1:12" x14ac:dyDescent="0.35">
      <c r="A9" s="14" t="s">
        <v>256</v>
      </c>
      <c r="B9" s="695">
        <v>2370</v>
      </c>
      <c r="C9" s="14" t="s">
        <v>255</v>
      </c>
      <c r="D9" s="14"/>
      <c r="E9" s="513"/>
      <c r="G9" s="514"/>
    </row>
    <row r="10" spans="1:12" x14ac:dyDescent="0.35">
      <c r="A10" s="14" t="s">
        <v>257</v>
      </c>
      <c r="B10" s="695">
        <v>2280</v>
      </c>
      <c r="C10" s="14" t="s">
        <v>255</v>
      </c>
      <c r="D10" s="14"/>
      <c r="E10" s="513"/>
      <c r="G10" s="514"/>
    </row>
    <row r="11" spans="1:12" x14ac:dyDescent="0.35">
      <c r="A11" s="14" t="s">
        <v>258</v>
      </c>
      <c r="B11" s="695">
        <v>3530</v>
      </c>
      <c r="C11" s="14" t="s">
        <v>255</v>
      </c>
      <c r="D11" s="14"/>
      <c r="E11" s="22"/>
      <c r="F11" s="783" t="s">
        <v>259</v>
      </c>
      <c r="G11" s="783" t="s">
        <v>260</v>
      </c>
      <c r="H11" s="783" t="s">
        <v>261</v>
      </c>
      <c r="I11" s="783" t="s">
        <v>262</v>
      </c>
      <c r="J11" s="783" t="s">
        <v>263</v>
      </c>
      <c r="K11" s="783" t="s">
        <v>264</v>
      </c>
    </row>
    <row r="12" spans="1:12" x14ac:dyDescent="0.35">
      <c r="A12" s="14" t="s">
        <v>265</v>
      </c>
      <c r="B12" s="695">
        <v>3550</v>
      </c>
      <c r="C12" s="14" t="s">
        <v>255</v>
      </c>
      <c r="D12" s="14"/>
      <c r="F12" s="698" t="s">
        <v>266</v>
      </c>
      <c r="G12" s="14">
        <v>2028</v>
      </c>
      <c r="H12" s="14">
        <v>2032</v>
      </c>
      <c r="I12" s="742">
        <f>'West Yard Cost'!$E$46+'West Yard Cost'!$E$47</f>
        <v>0.08</v>
      </c>
      <c r="J12" s="186">
        <f>H12-G12+1</f>
        <v>5</v>
      </c>
      <c r="K12" s="515">
        <f>$K$17*(I12)</f>
        <v>3715501.1239035204</v>
      </c>
    </row>
    <row r="13" spans="1:12" x14ac:dyDescent="0.35">
      <c r="A13" s="14" t="s">
        <v>267</v>
      </c>
      <c r="B13" s="695">
        <v>3680</v>
      </c>
      <c r="C13" s="14" t="s">
        <v>255</v>
      </c>
      <c r="D13" s="14"/>
      <c r="F13" s="14" t="s">
        <v>268</v>
      </c>
      <c r="G13" s="14">
        <v>2028</v>
      </c>
      <c r="H13" s="14">
        <v>2028</v>
      </c>
      <c r="I13" s="742">
        <v>0</v>
      </c>
      <c r="J13" s="186">
        <f>H13-G13+1</f>
        <v>1</v>
      </c>
      <c r="K13" s="515">
        <f>$K$17*(I13)</f>
        <v>0</v>
      </c>
    </row>
    <row r="14" spans="1:12" x14ac:dyDescent="0.35">
      <c r="A14" s="14" t="s">
        <v>269</v>
      </c>
      <c r="B14" s="695">
        <v>3700</v>
      </c>
      <c r="C14" s="14" t="s">
        <v>255</v>
      </c>
      <c r="D14" s="14"/>
      <c r="F14" s="14" t="s">
        <v>270</v>
      </c>
      <c r="G14" s="14">
        <v>2028</v>
      </c>
      <c r="H14" s="14">
        <v>2029</v>
      </c>
      <c r="I14" s="742">
        <f>'West Yard Cost'!$E$48+'West Yard Cost'!$E$49</f>
        <v>2.7999999999999997E-2</v>
      </c>
      <c r="J14" s="186">
        <f>H14-G14+1</f>
        <v>2</v>
      </c>
      <c r="K14" s="515">
        <f>$K$17*(I14)</f>
        <v>1300425.3933662318</v>
      </c>
    </row>
    <row r="15" spans="1:12" x14ac:dyDescent="0.35">
      <c r="A15" s="32" t="s">
        <v>271</v>
      </c>
      <c r="B15" s="696">
        <f>SUM(B8:B14)</f>
        <v>21530</v>
      </c>
      <c r="C15" s="32" t="s">
        <v>255</v>
      </c>
      <c r="D15" s="14"/>
      <c r="F15" s="14" t="s">
        <v>272</v>
      </c>
      <c r="G15" s="14">
        <v>2028</v>
      </c>
      <c r="H15" s="14">
        <v>2030</v>
      </c>
      <c r="I15" s="742">
        <v>0.1</v>
      </c>
      <c r="J15" s="186">
        <f>H15-G15+1</f>
        <v>3</v>
      </c>
      <c r="K15" s="515">
        <f>$K$17*(I15)</f>
        <v>4644376.4048794005</v>
      </c>
      <c r="L15" s="685" t="s">
        <v>273</v>
      </c>
    </row>
    <row r="16" spans="1:12" x14ac:dyDescent="0.35">
      <c r="F16" s="743" t="s">
        <v>274</v>
      </c>
      <c r="G16" s="14">
        <v>2028</v>
      </c>
      <c r="H16" s="743">
        <v>2032</v>
      </c>
      <c r="I16" s="742">
        <f>1-SUM(I12:I15)</f>
        <v>0.79200000000000004</v>
      </c>
      <c r="J16" s="516">
        <f>H16-G16+1</f>
        <v>5</v>
      </c>
      <c r="K16" s="515">
        <f>$K$17*(I16)</f>
        <v>36783461.12664485</v>
      </c>
    </row>
    <row r="17" spans="1:11" ht="15.5" x14ac:dyDescent="0.35">
      <c r="A17" s="398" t="s">
        <v>275</v>
      </c>
      <c r="B17" s="399"/>
      <c r="C17" s="399"/>
      <c r="D17" s="400"/>
      <c r="F17" s="32" t="s">
        <v>276</v>
      </c>
      <c r="G17" s="32">
        <f>MIN(G12:G16)</f>
        <v>2028</v>
      </c>
      <c r="H17" s="32">
        <f>MAX(H12:H16)</f>
        <v>2032</v>
      </c>
      <c r="I17" s="721">
        <f>SUM(I12:I16)</f>
        <v>1</v>
      </c>
      <c r="J17" s="722" t="b">
        <f>SUM(I12:I16)=100%</f>
        <v>1</v>
      </c>
      <c r="K17" s="723">
        <f>$B$5</f>
        <v>46443764.048794001</v>
      </c>
    </row>
    <row r="18" spans="1:11" x14ac:dyDescent="0.35">
      <c r="A18" s="14" t="s">
        <v>277</v>
      </c>
      <c r="B18" s="695">
        <v>3760</v>
      </c>
      <c r="C18" s="14" t="s">
        <v>255</v>
      </c>
      <c r="D18" s="14"/>
      <c r="K18" s="51" t="s">
        <v>278</v>
      </c>
    </row>
    <row r="19" spans="1:11" x14ac:dyDescent="0.35">
      <c r="A19" s="14" t="s">
        <v>279</v>
      </c>
      <c r="B19" s="695">
        <v>3540</v>
      </c>
      <c r="C19" s="14" t="s">
        <v>255</v>
      </c>
      <c r="D19" s="14"/>
    </row>
    <row r="20" spans="1:11" x14ac:dyDescent="0.35">
      <c r="A20" s="14" t="s">
        <v>280</v>
      </c>
      <c r="B20" s="695">
        <v>3440</v>
      </c>
      <c r="C20" s="14" t="s">
        <v>255</v>
      </c>
      <c r="D20" s="14"/>
    </row>
    <row r="21" spans="1:11" x14ac:dyDescent="0.35">
      <c r="A21" s="14" t="s">
        <v>281</v>
      </c>
      <c r="B21" s="695">
        <v>3350</v>
      </c>
      <c r="C21" s="14" t="s">
        <v>255</v>
      </c>
      <c r="D21" s="14"/>
      <c r="F21" s="52"/>
    </row>
    <row r="22" spans="1:11" x14ac:dyDescent="0.35">
      <c r="A22" s="14" t="s">
        <v>282</v>
      </c>
      <c r="B22" s="695">
        <v>3360</v>
      </c>
      <c r="C22" s="14" t="s">
        <v>255</v>
      </c>
      <c r="D22" s="14"/>
      <c r="F22" s="52"/>
    </row>
    <row r="23" spans="1:11" x14ac:dyDescent="0.35">
      <c r="A23" s="32" t="s">
        <v>283</v>
      </c>
      <c r="B23" s="696">
        <f>SUM(B16:B22)</f>
        <v>17450</v>
      </c>
      <c r="C23" s="32" t="s">
        <v>255</v>
      </c>
      <c r="D23" s="14"/>
      <c r="F23" s="783" t="s">
        <v>259</v>
      </c>
      <c r="G23" s="783" t="s">
        <v>260</v>
      </c>
      <c r="H23" s="783" t="s">
        <v>261</v>
      </c>
      <c r="I23" s="783" t="s">
        <v>264</v>
      </c>
    </row>
    <row r="24" spans="1:11" x14ac:dyDescent="0.35">
      <c r="B24" s="18"/>
      <c r="F24" s="698" t="s">
        <v>266</v>
      </c>
      <c r="G24" s="14">
        <v>2028</v>
      </c>
      <c r="H24" s="14">
        <v>2032</v>
      </c>
      <c r="I24" s="515">
        <f>K12</f>
        <v>3715501.1239035204</v>
      </c>
    </row>
    <row r="25" spans="1:11" x14ac:dyDescent="0.35">
      <c r="A25" s="401" t="s">
        <v>284</v>
      </c>
      <c r="B25" s="697">
        <f>B15+B23</f>
        <v>38980</v>
      </c>
      <c r="C25" s="402" t="s">
        <v>255</v>
      </c>
      <c r="D25" s="403"/>
      <c r="F25" s="14" t="s">
        <v>270</v>
      </c>
      <c r="G25" s="14">
        <v>2028</v>
      </c>
      <c r="H25" s="14">
        <v>2029</v>
      </c>
      <c r="I25" s="515">
        <f>K14</f>
        <v>1300425.3933662318</v>
      </c>
    </row>
    <row r="26" spans="1:11" x14ac:dyDescent="0.35">
      <c r="F26" s="14" t="s">
        <v>272</v>
      </c>
      <c r="G26" s="14">
        <v>2028</v>
      </c>
      <c r="H26" s="14">
        <v>2030</v>
      </c>
      <c r="I26" s="515">
        <f t="shared" ref="I26:I27" si="0">K15</f>
        <v>4644376.4048794005</v>
      </c>
    </row>
    <row r="27" spans="1:11" x14ac:dyDescent="0.35">
      <c r="F27" s="743" t="s">
        <v>274</v>
      </c>
      <c r="G27" s="14">
        <v>2028</v>
      </c>
      <c r="H27" s="743">
        <v>2032</v>
      </c>
      <c r="I27" s="515">
        <f t="shared" si="0"/>
        <v>36783461.12664485</v>
      </c>
    </row>
    <row r="28" spans="1:11" x14ac:dyDescent="0.35">
      <c r="F28" s="32" t="s">
        <v>276</v>
      </c>
      <c r="G28" s="32">
        <v>2028</v>
      </c>
      <c r="H28" s="32">
        <f>MAX(H24:H27)</f>
        <v>2032</v>
      </c>
      <c r="I28" s="784">
        <f>K17</f>
        <v>46443764.048794001</v>
      </c>
    </row>
  </sheetData>
  <phoneticPr fontId="26" type="noConversion"/>
  <dataValidations count="1">
    <dataValidation type="list" allowBlank="1" showInputMessage="1" showErrorMessage="1" sqref="F3" xr:uid="{3664909C-BE1F-40CC-B516-34B65B01CAC3}">
      <formula1>"Base Costs, Costs (+20%), Costs (-20%)"</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FFE82-397F-49DE-B5CE-6BA2E78B8F4F}">
  <sheetPr codeName="Sheet6">
    <tabColor theme="5"/>
  </sheetPr>
  <dimension ref="A1:AV27"/>
  <sheetViews>
    <sheetView topLeftCell="H10" workbookViewId="0">
      <selection activeCell="L22" sqref="L22:P22"/>
    </sheetView>
  </sheetViews>
  <sheetFormatPr defaultRowHeight="14.5" x14ac:dyDescent="0.35"/>
  <cols>
    <col min="1" max="1" width="1" customWidth="1"/>
    <col min="2" max="2" width="67.453125" bestFit="1" customWidth="1"/>
    <col min="4" max="4" width="16.453125" bestFit="1" customWidth="1"/>
    <col min="6" max="6" width="30.54296875" customWidth="1"/>
    <col min="7" max="7" width="23.54296875" customWidth="1"/>
    <col min="8" max="8" width="15.54296875" customWidth="1"/>
    <col min="9" max="11" width="14.54296875" bestFit="1" customWidth="1"/>
    <col min="12" max="12" width="15.54296875" bestFit="1" customWidth="1"/>
    <col min="13" max="13" width="14.54296875" bestFit="1" customWidth="1"/>
    <col min="14" max="14" width="15.54296875" customWidth="1"/>
    <col min="15" max="17" width="13.453125" customWidth="1"/>
    <col min="18" max="18" width="14.453125" customWidth="1"/>
    <col min="19" max="19" width="8.81640625" customWidth="1"/>
  </cols>
  <sheetData>
    <row r="1" spans="1:48" x14ac:dyDescent="0.35">
      <c r="A1" s="1"/>
      <c r="B1" s="9" t="s">
        <v>285</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8" x14ac:dyDescent="0.35">
      <c r="A2" s="793"/>
      <c r="B2" s="793"/>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row>
    <row r="3" spans="1:48" x14ac:dyDescent="0.35">
      <c r="A3" s="1"/>
      <c r="B3" s="2" t="s">
        <v>35</v>
      </c>
      <c r="C3" s="2" t="s">
        <v>36</v>
      </c>
      <c r="D3" s="1"/>
      <c r="E3" s="1"/>
      <c r="F3" s="76"/>
      <c r="G3" s="76"/>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row>
    <row r="4" spans="1:48" x14ac:dyDescent="0.35">
      <c r="A4" s="1"/>
      <c r="B4" s="1" t="s">
        <v>37</v>
      </c>
      <c r="C4" s="1">
        <f>Inputs!D8</f>
        <v>2024</v>
      </c>
      <c r="D4" s="1"/>
      <c r="E4" s="1"/>
      <c r="F4" s="57"/>
      <c r="G4" s="47"/>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row>
    <row r="5" spans="1:48" x14ac:dyDescent="0.35">
      <c r="A5" s="1"/>
      <c r="B5" s="1" t="s">
        <v>38</v>
      </c>
      <c r="C5" s="1">
        <f>Inputs!D11</f>
        <v>2033</v>
      </c>
      <c r="D5" s="1"/>
      <c r="E5" s="1"/>
      <c r="F5" s="1"/>
      <c r="G5" s="1"/>
      <c r="H5" s="1"/>
      <c r="J5" s="3"/>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row>
    <row r="6" spans="1:48" x14ac:dyDescent="0.35">
      <c r="A6" s="1"/>
      <c r="B6" s="1" t="s">
        <v>39</v>
      </c>
      <c r="C6" s="1">
        <f>Inputs!D13</f>
        <v>2052</v>
      </c>
      <c r="D6" s="1"/>
      <c r="E6" s="1"/>
      <c r="F6" s="1"/>
      <c r="G6" s="1"/>
      <c r="H6" s="1"/>
      <c r="I6" s="13"/>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row>
    <row r="7" spans="1:48" x14ac:dyDescent="0.35">
      <c r="A7" s="1"/>
      <c r="B7" s="1" t="s">
        <v>40</v>
      </c>
      <c r="C7" s="1">
        <f>Inputs!D14</f>
        <v>20</v>
      </c>
      <c r="D7" s="1"/>
      <c r="E7" s="1"/>
      <c r="F7" s="1"/>
      <c r="G7" s="1"/>
      <c r="H7" s="1"/>
      <c r="I7" s="6"/>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row>
    <row r="8" spans="1:48" x14ac:dyDescent="0.35">
      <c r="A8" s="1"/>
      <c r="B8" s="1" t="s">
        <v>41</v>
      </c>
      <c r="C8" s="10">
        <f>Inputs!D15</f>
        <v>7.0000000000000007E-2</v>
      </c>
      <c r="D8" s="1"/>
      <c r="E8" s="1"/>
      <c r="F8" s="1"/>
      <c r="G8" s="1"/>
      <c r="H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row>
    <row r="9" spans="1:48" ht="5.9" customHeight="1" thickBot="1" x14ac:dyDescent="0.4">
      <c r="A9" s="4"/>
      <c r="B9" s="4"/>
      <c r="C9" s="4"/>
      <c r="D9" s="1"/>
      <c r="E9" s="1"/>
      <c r="F9" s="4"/>
      <c r="G9" s="4"/>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row>
    <row r="10" spans="1:48" x14ac:dyDescent="0.35">
      <c r="A10" s="793"/>
      <c r="B10" s="793"/>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row>
    <row r="11" spans="1:48" x14ac:dyDescent="0.35">
      <c r="A11" s="794" t="s">
        <v>42</v>
      </c>
      <c r="B11" s="794"/>
      <c r="C11" s="2"/>
      <c r="D11" s="2"/>
      <c r="E11" s="2"/>
      <c r="F11" s="2"/>
      <c r="G11" s="2">
        <f>H11-1</f>
        <v>2023</v>
      </c>
      <c r="H11" s="2">
        <f>C4</f>
        <v>2024</v>
      </c>
      <c r="I11" s="2">
        <f>H11+1</f>
        <v>2025</v>
      </c>
      <c r="J11" s="2">
        <f t="shared" ref="J11:AK11" si="0">I11+1</f>
        <v>2026</v>
      </c>
      <c r="K11" s="2">
        <f t="shared" si="0"/>
        <v>2027</v>
      </c>
      <c r="L11" s="2">
        <f t="shared" si="0"/>
        <v>2028</v>
      </c>
      <c r="M11" s="2">
        <f t="shared" si="0"/>
        <v>2029</v>
      </c>
      <c r="N11" s="2">
        <f t="shared" si="0"/>
        <v>2030</v>
      </c>
      <c r="O11" s="2">
        <f t="shared" si="0"/>
        <v>2031</v>
      </c>
      <c r="P11" s="2">
        <f t="shared" si="0"/>
        <v>2032</v>
      </c>
      <c r="Q11" s="2">
        <f t="shared" si="0"/>
        <v>2033</v>
      </c>
      <c r="R11" s="2">
        <f t="shared" si="0"/>
        <v>2034</v>
      </c>
      <c r="S11" s="2">
        <f t="shared" si="0"/>
        <v>2035</v>
      </c>
      <c r="T11" s="2">
        <f t="shared" si="0"/>
        <v>2036</v>
      </c>
      <c r="U11" s="2">
        <f t="shared" si="0"/>
        <v>2037</v>
      </c>
      <c r="V11" s="2">
        <f t="shared" si="0"/>
        <v>2038</v>
      </c>
      <c r="W11" s="2">
        <f t="shared" si="0"/>
        <v>2039</v>
      </c>
      <c r="X11" s="2">
        <f t="shared" si="0"/>
        <v>2040</v>
      </c>
      <c r="Y11" s="2">
        <f t="shared" si="0"/>
        <v>2041</v>
      </c>
      <c r="Z11" s="2">
        <f t="shared" si="0"/>
        <v>2042</v>
      </c>
      <c r="AA11" s="2">
        <f t="shared" si="0"/>
        <v>2043</v>
      </c>
      <c r="AB11" s="2">
        <f t="shared" si="0"/>
        <v>2044</v>
      </c>
      <c r="AC11" s="2">
        <f t="shared" si="0"/>
        <v>2045</v>
      </c>
      <c r="AD11" s="2">
        <f t="shared" si="0"/>
        <v>2046</v>
      </c>
      <c r="AE11" s="2">
        <f t="shared" si="0"/>
        <v>2047</v>
      </c>
      <c r="AF11" s="2">
        <f t="shared" si="0"/>
        <v>2048</v>
      </c>
      <c r="AG11" s="2">
        <f t="shared" si="0"/>
        <v>2049</v>
      </c>
      <c r="AH11" s="2">
        <f t="shared" si="0"/>
        <v>2050</v>
      </c>
      <c r="AI11" s="2">
        <f t="shared" si="0"/>
        <v>2051</v>
      </c>
      <c r="AJ11" s="2">
        <f t="shared" si="0"/>
        <v>2052</v>
      </c>
      <c r="AK11" s="2">
        <f t="shared" si="0"/>
        <v>2053</v>
      </c>
      <c r="AL11" s="2">
        <f t="shared" ref="AL11:AV11" si="1">AK11+1</f>
        <v>2054</v>
      </c>
      <c r="AM11" s="2">
        <f t="shared" si="1"/>
        <v>2055</v>
      </c>
      <c r="AN11" s="2">
        <f t="shared" si="1"/>
        <v>2056</v>
      </c>
      <c r="AO11" s="2">
        <f t="shared" si="1"/>
        <v>2057</v>
      </c>
      <c r="AP11" s="2">
        <f t="shared" si="1"/>
        <v>2058</v>
      </c>
      <c r="AQ11" s="2">
        <f t="shared" si="1"/>
        <v>2059</v>
      </c>
      <c r="AR11" s="2">
        <f t="shared" si="1"/>
        <v>2060</v>
      </c>
      <c r="AS11" s="2">
        <f t="shared" si="1"/>
        <v>2061</v>
      </c>
      <c r="AT11" s="2">
        <f t="shared" si="1"/>
        <v>2062</v>
      </c>
      <c r="AU11" s="2">
        <f t="shared" si="1"/>
        <v>2063</v>
      </c>
      <c r="AV11" s="2">
        <f t="shared" si="1"/>
        <v>2064</v>
      </c>
    </row>
    <row r="12" spans="1:48" x14ac:dyDescent="0.35">
      <c r="A12" s="794" t="s">
        <v>286</v>
      </c>
      <c r="B12" s="794"/>
      <c r="C12" s="1"/>
      <c r="D12" s="1"/>
      <c r="E12" s="1"/>
      <c r="F12" s="1"/>
      <c r="G12" s="11">
        <f t="shared" ref="G12:AK12" si="2">IF(G11="","",1/((1+$C$8)^(G11-$C$4)))</f>
        <v>1.07</v>
      </c>
      <c r="H12" s="11">
        <f t="shared" si="2"/>
        <v>1</v>
      </c>
      <c r="I12" s="11">
        <f t="shared" si="2"/>
        <v>0.93457943925233644</v>
      </c>
      <c r="J12" s="11">
        <f t="shared" si="2"/>
        <v>0.87343872827321156</v>
      </c>
      <c r="K12" s="11">
        <f t="shared" si="2"/>
        <v>0.81629787689085187</v>
      </c>
      <c r="L12" s="11">
        <f t="shared" si="2"/>
        <v>0.7628952120475252</v>
      </c>
      <c r="M12" s="11">
        <f t="shared" si="2"/>
        <v>0.71298617948366838</v>
      </c>
      <c r="N12" s="11">
        <f t="shared" si="2"/>
        <v>0.66634222381651254</v>
      </c>
      <c r="O12" s="11">
        <f t="shared" si="2"/>
        <v>0.62274974188459109</v>
      </c>
      <c r="P12" s="11">
        <f t="shared" si="2"/>
        <v>0.5820091045650384</v>
      </c>
      <c r="Q12" s="11">
        <f t="shared" si="2"/>
        <v>0.54393374258414806</v>
      </c>
      <c r="R12" s="11">
        <f t="shared" si="2"/>
        <v>0.5083492921347178</v>
      </c>
      <c r="S12" s="11">
        <f t="shared" si="2"/>
        <v>0.47509279638758667</v>
      </c>
      <c r="T12" s="11">
        <f t="shared" si="2"/>
        <v>0.44401195924073528</v>
      </c>
      <c r="U12" s="11">
        <f t="shared" si="2"/>
        <v>0.41496444788853759</v>
      </c>
      <c r="V12" s="11">
        <f t="shared" si="2"/>
        <v>0.3878172410173249</v>
      </c>
      <c r="W12" s="11">
        <f t="shared" si="2"/>
        <v>0.36244601964235967</v>
      </c>
      <c r="X12" s="11">
        <f t="shared" si="2"/>
        <v>0.33873459779659787</v>
      </c>
      <c r="Y12" s="11">
        <f t="shared" si="2"/>
        <v>0.31657439046411018</v>
      </c>
      <c r="Z12" s="11">
        <f t="shared" si="2"/>
        <v>0.29586391632159825</v>
      </c>
      <c r="AA12" s="11">
        <f t="shared" si="2"/>
        <v>0.27650833301083949</v>
      </c>
      <c r="AB12" s="11">
        <f t="shared" si="2"/>
        <v>0.2584190028138687</v>
      </c>
      <c r="AC12" s="11">
        <f t="shared" si="2"/>
        <v>0.24151308674193336</v>
      </c>
      <c r="AD12" s="11">
        <f t="shared" si="2"/>
        <v>0.22571316517937698</v>
      </c>
      <c r="AE12" s="11">
        <f t="shared" si="2"/>
        <v>0.21094688334521211</v>
      </c>
      <c r="AF12" s="11">
        <f t="shared" si="2"/>
        <v>0.19714661994879637</v>
      </c>
      <c r="AG12" s="11">
        <f t="shared" si="2"/>
        <v>0.18424917752223957</v>
      </c>
      <c r="AH12" s="11">
        <f t="shared" si="2"/>
        <v>0.17219549301143888</v>
      </c>
      <c r="AI12" s="11">
        <f t="shared" si="2"/>
        <v>0.16093036730041013</v>
      </c>
      <c r="AJ12" s="11">
        <f t="shared" si="2"/>
        <v>0.15040221243028987</v>
      </c>
      <c r="AK12" s="11">
        <f t="shared" si="2"/>
        <v>0.1405628153554111</v>
      </c>
      <c r="AL12" s="11">
        <f t="shared" ref="AL12:AV12" si="3">IF(AL11="","",1/((1+$C$8)^(AL11-$C$4)))</f>
        <v>0.13136711715458982</v>
      </c>
      <c r="AM12" s="11">
        <f t="shared" si="3"/>
        <v>0.1227730066865325</v>
      </c>
      <c r="AN12" s="11">
        <f t="shared" si="3"/>
        <v>0.11474112774442291</v>
      </c>
      <c r="AO12" s="11">
        <f t="shared" si="3"/>
        <v>0.10723469882656347</v>
      </c>
      <c r="AP12" s="11">
        <f t="shared" si="3"/>
        <v>0.10021934469772288</v>
      </c>
      <c r="AQ12" s="11">
        <f t="shared" si="3"/>
        <v>9.366293896983445E-2</v>
      </c>
      <c r="AR12" s="11">
        <f t="shared" si="3"/>
        <v>8.7535456981153698E-2</v>
      </c>
      <c r="AS12" s="11">
        <f t="shared" si="3"/>
        <v>8.1808838300143641E-2</v>
      </c>
      <c r="AT12" s="11">
        <f t="shared" si="3"/>
        <v>7.6456858224433308E-2</v>
      </c>
      <c r="AU12" s="11">
        <f t="shared" si="3"/>
        <v>7.1455007686386268E-2</v>
      </c>
      <c r="AV12" s="11">
        <f t="shared" si="3"/>
        <v>6.6780381015314264E-2</v>
      </c>
    </row>
    <row r="13" spans="1:48" x14ac:dyDescent="0.35">
      <c r="A13" s="794"/>
      <c r="B13" s="794"/>
    </row>
    <row r="14" spans="1:48" ht="4.4000000000000004" customHeight="1" thickBot="1" x14ac:dyDescent="0.4">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row>
    <row r="15" spans="1:48" x14ac:dyDescent="0.35">
      <c r="D15" s="71" t="s">
        <v>46</v>
      </c>
    </row>
    <row r="16" spans="1:48" x14ac:dyDescent="0.35">
      <c r="A16" s="8" t="s">
        <v>64</v>
      </c>
    </row>
    <row r="17" spans="1:48" x14ac:dyDescent="0.35">
      <c r="A17" s="8"/>
      <c r="B17" s="153" t="s">
        <v>287</v>
      </c>
      <c r="C17" s="291"/>
      <c r="D17" s="29">
        <f t="shared" ref="D17:D22" si="4">SUM(G17:AK17)</f>
        <v>3715501.1239035204</v>
      </c>
      <c r="G17" s="23">
        <f>IF(AND(G$11&gt;='Project Schedule'!$G12,G$11&lt;='Project Schedule'!$H12),'Project Schedule'!$K12/'Project Schedule'!$J12,0)</f>
        <v>0</v>
      </c>
      <c r="H17" s="23">
        <f>IF(AND(H$11&gt;='Project Schedule'!$G12,H$11&lt;='Project Schedule'!$H12),'Project Schedule'!$K12/'Project Schedule'!$J12,0)</f>
        <v>0</v>
      </c>
      <c r="I17" s="23">
        <f>IF(AND(I$11&gt;='Project Schedule'!$G12,I$11&lt;='Project Schedule'!$H12),'Project Schedule'!$K12/'Project Schedule'!$J12,0)</f>
        <v>0</v>
      </c>
      <c r="J17" s="23">
        <f>IF(AND(J$11&gt;='Project Schedule'!$G12,J$11&lt;='Project Schedule'!$H12),'Project Schedule'!$K12/'Project Schedule'!$J12,0)</f>
        <v>0</v>
      </c>
      <c r="K17" s="23">
        <f>IF(AND(K$11&gt;='Project Schedule'!$G12,K$11&lt;='Project Schedule'!$H12),'Project Schedule'!$K12/'Project Schedule'!$J12,0)</f>
        <v>0</v>
      </c>
      <c r="L17" s="23">
        <f>IF(AND(L$11&gt;='Project Schedule'!$G12,L$11&lt;='Project Schedule'!$H12),'Project Schedule'!$K12/'Project Schedule'!$J12,0)</f>
        <v>743100.22478070413</v>
      </c>
      <c r="M17" s="23">
        <f>IF(AND(M$11&gt;='Project Schedule'!$G12,M$11&lt;='Project Schedule'!$H12),'Project Schedule'!$K12/'Project Schedule'!$J12,0)</f>
        <v>743100.22478070413</v>
      </c>
      <c r="N17" s="23">
        <f>IF(AND(N$11&gt;='Project Schedule'!$G12,N$11&lt;='Project Schedule'!$H12),'Project Schedule'!$K12/'Project Schedule'!$J12,0)</f>
        <v>743100.22478070413</v>
      </c>
      <c r="O17" s="23">
        <f>IF(AND(O$11&gt;='Project Schedule'!$G12,O$11&lt;='Project Schedule'!$H12),'Project Schedule'!$K12/'Project Schedule'!$J12,0)</f>
        <v>743100.22478070413</v>
      </c>
      <c r="P17" s="23">
        <f>IF(AND(P$11&gt;='Project Schedule'!$G12,P$11&lt;='Project Schedule'!$H12),'Project Schedule'!$K12/'Project Schedule'!$J12,0)</f>
        <v>743100.22478070413</v>
      </c>
      <c r="Q17" s="23">
        <f>IF(AND(Q$11&gt;='Project Schedule'!$G12,Q$11&lt;='Project Schedule'!$H12),'Project Schedule'!$K12/'Project Schedule'!$J12,0)</f>
        <v>0</v>
      </c>
      <c r="R17" s="23">
        <f>IF(AND(R$11&gt;='Project Schedule'!$G12,R$11&lt;='Project Schedule'!$H12),'Project Schedule'!$K12/'Project Schedule'!$J12,0)</f>
        <v>0</v>
      </c>
      <c r="S17" s="23">
        <f>IF(AND(S$11&gt;='Project Schedule'!$G12,S$11&lt;='Project Schedule'!$H12),'Project Schedule'!$K12/'Project Schedule'!$J12,0)</f>
        <v>0</v>
      </c>
      <c r="T17" s="23">
        <f>IF(AND(T$11&gt;='Project Schedule'!$G12,T$11&lt;='Project Schedule'!$H12),'Project Schedule'!$K12/'Project Schedule'!$J12,0)</f>
        <v>0</v>
      </c>
      <c r="U17" s="23">
        <f>IF(AND(U$11&gt;='Project Schedule'!$G12,U$11&lt;='Project Schedule'!$H12),'Project Schedule'!$K12/'Project Schedule'!$J12,0)</f>
        <v>0</v>
      </c>
      <c r="V17" s="23">
        <f>IF(AND(V$11&gt;='Project Schedule'!$G12,V$11&lt;='Project Schedule'!$H12),'Project Schedule'!$K12/'Project Schedule'!$J12,0)</f>
        <v>0</v>
      </c>
      <c r="W17" s="23">
        <f>IF(AND(W$11&gt;='Project Schedule'!$G12,W$11&lt;='Project Schedule'!$H12),'Project Schedule'!$K12/'Project Schedule'!$J12,0)</f>
        <v>0</v>
      </c>
      <c r="X17" s="23">
        <f>IF(AND(X$11&gt;='Project Schedule'!$G12,X$11&lt;='Project Schedule'!$H12),'Project Schedule'!$K12/'Project Schedule'!$J12,0)</f>
        <v>0</v>
      </c>
      <c r="Y17" s="23">
        <f>IF(AND(Y$11&gt;='Project Schedule'!$G12,Y$11&lt;='Project Schedule'!$H12),'Project Schedule'!$K12/'Project Schedule'!$J12,0)</f>
        <v>0</v>
      </c>
      <c r="Z17" s="23">
        <f>IF(AND(Z$11&gt;='Project Schedule'!$G12,Z$11&lt;='Project Schedule'!$H12),'Project Schedule'!$K12/'Project Schedule'!$J12,0)</f>
        <v>0</v>
      </c>
      <c r="AA17" s="23">
        <f>IF(AND(AA$11&gt;='Project Schedule'!$G12,AA$11&lt;='Project Schedule'!$H12),'Project Schedule'!$K12/'Project Schedule'!$J12,0)</f>
        <v>0</v>
      </c>
      <c r="AB17" s="23">
        <f>IF(AND(AB$11&gt;='Project Schedule'!$G12,AB$11&lt;='Project Schedule'!$H12),'Project Schedule'!$K12/'Project Schedule'!$J12,0)</f>
        <v>0</v>
      </c>
      <c r="AC17" s="23">
        <f>IF(AND(AC$11&gt;='Project Schedule'!$G12,AC$11&lt;='Project Schedule'!$H12),'Project Schedule'!$K12/'Project Schedule'!$J12,0)</f>
        <v>0</v>
      </c>
      <c r="AD17" s="23">
        <f>IF(AND(AD$11&gt;='Project Schedule'!$G12,AD$11&lt;='Project Schedule'!$H12),'Project Schedule'!$K12/'Project Schedule'!$J12,0)</f>
        <v>0</v>
      </c>
      <c r="AE17" s="23">
        <f>IF(AND(AE$11&gt;='Project Schedule'!$G12,AE$11&lt;='Project Schedule'!$H12),'Project Schedule'!$K12/'Project Schedule'!$J12,0)</f>
        <v>0</v>
      </c>
      <c r="AF17" s="23">
        <f>IF(AND(AF$11&gt;='Project Schedule'!$G12,AF$11&lt;='Project Schedule'!$H12),'Project Schedule'!$K12/'Project Schedule'!$J12,0)</f>
        <v>0</v>
      </c>
      <c r="AG17" s="23">
        <f>IF(AND(AG$11&gt;='Project Schedule'!$G12,AG$11&lt;='Project Schedule'!$H12),'Project Schedule'!$K12/'Project Schedule'!$J12,0)</f>
        <v>0</v>
      </c>
      <c r="AH17" s="23">
        <f>IF(AND(AH$11&gt;='Project Schedule'!$G12,AH$11&lt;='Project Schedule'!$H12),'Project Schedule'!$K12/'Project Schedule'!$J12,0)</f>
        <v>0</v>
      </c>
      <c r="AI17" s="23">
        <f>IF(AND(AI$11&gt;='Project Schedule'!$G12,AI$11&lt;='Project Schedule'!$H12),'Project Schedule'!$K12/'Project Schedule'!$J12,0)</f>
        <v>0</v>
      </c>
      <c r="AJ17" s="23">
        <f>IF(AND(AJ$11&gt;='Project Schedule'!$G12,AJ$11&lt;='Project Schedule'!$H12),'Project Schedule'!$K12/'Project Schedule'!$J12,0)</f>
        <v>0</v>
      </c>
      <c r="AK17" s="23">
        <f>IF(AND(AK$11&gt;='Project Schedule'!$G12,AK$11&lt;='Project Schedule'!$H12),'Project Schedule'!$K12/'Project Schedule'!$J12,0)</f>
        <v>0</v>
      </c>
      <c r="AL17" s="23">
        <f>IF(AND(AL$11&gt;='Project Schedule'!$G12,AL$11&lt;='Project Schedule'!$H12),'Project Schedule'!$K12/'Project Schedule'!$J12,0)</f>
        <v>0</v>
      </c>
      <c r="AM17" s="23">
        <f>IF(AND(AM$11&gt;='Project Schedule'!$G12,AM$11&lt;='Project Schedule'!$H12),'Project Schedule'!$K12/'Project Schedule'!$J12,0)</f>
        <v>0</v>
      </c>
      <c r="AN17" s="23">
        <f>IF(AND(AN$11&gt;='Project Schedule'!$G12,AN$11&lt;='Project Schedule'!$H12),'Project Schedule'!$K12/'Project Schedule'!$J12,0)</f>
        <v>0</v>
      </c>
      <c r="AO17" s="23">
        <f>IF(AND(AO$11&gt;='Project Schedule'!$G12,AO$11&lt;='Project Schedule'!$H12),'Project Schedule'!$K12/'Project Schedule'!$J12,0)</f>
        <v>0</v>
      </c>
      <c r="AP17" s="23">
        <f>IF(AND(AP$11&gt;='Project Schedule'!$G12,AP$11&lt;='Project Schedule'!$H12),'Project Schedule'!$K12/'Project Schedule'!$J12,0)</f>
        <v>0</v>
      </c>
      <c r="AQ17" s="23">
        <f>IF(AND(AQ$11&gt;='Project Schedule'!$G12,AQ$11&lt;='Project Schedule'!$H12),'Project Schedule'!$K12/'Project Schedule'!$J12,0)</f>
        <v>0</v>
      </c>
      <c r="AR17" s="23">
        <f>IF(AND(AR$11&gt;='Project Schedule'!$G12,AR$11&lt;='Project Schedule'!$H12),'Project Schedule'!$K12/'Project Schedule'!$J12,0)</f>
        <v>0</v>
      </c>
      <c r="AS17" s="23">
        <f>IF(AND(AS$11&gt;='Project Schedule'!$G12,AS$11&lt;='Project Schedule'!$H12),'Project Schedule'!$K12/'Project Schedule'!$J12,0)</f>
        <v>0</v>
      </c>
      <c r="AT17" s="23">
        <f>IF(AND(AT$11&gt;='Project Schedule'!$G12,AT$11&lt;='Project Schedule'!$H12),'Project Schedule'!$K12/'Project Schedule'!$J12,0)</f>
        <v>0</v>
      </c>
      <c r="AU17" s="23">
        <f>IF(AND(AU$11&gt;='Project Schedule'!$G12,AU$11&lt;='Project Schedule'!$H12),'Project Schedule'!$K12/'Project Schedule'!$J12,0)</f>
        <v>0</v>
      </c>
      <c r="AV17" s="23">
        <f>IF(AND(AV$11&gt;='Project Schedule'!$G12,AV$11&lt;='Project Schedule'!$H12),'Project Schedule'!$K12/'Project Schedule'!$J12,0)</f>
        <v>0</v>
      </c>
    </row>
    <row r="18" spans="1:48" s="153" customFormat="1" x14ac:dyDescent="0.35">
      <c r="A18" s="154"/>
      <c r="B18" s="153" t="s">
        <v>288</v>
      </c>
      <c r="C18" s="292"/>
      <c r="D18" s="29">
        <f t="shared" si="4"/>
        <v>0</v>
      </c>
      <c r="E18" s="23"/>
      <c r="F18" s="23"/>
      <c r="G18" s="23">
        <f>IF(AND(G$11&gt;='Project Schedule'!$G13,G$11&lt;='Project Schedule'!$H13),'Project Schedule'!$K13/'Project Schedule'!$J13,0)</f>
        <v>0</v>
      </c>
      <c r="H18" s="23">
        <f>IF(AND(H$11&gt;='Project Schedule'!$G13,H$11&lt;='Project Schedule'!$H13),'Project Schedule'!$K13/'Project Schedule'!$J13,0)</f>
        <v>0</v>
      </c>
      <c r="I18" s="23">
        <f>IF(AND(I$11&gt;='Project Schedule'!$G13,I$11&lt;='Project Schedule'!$H13),'Project Schedule'!$K13/'Project Schedule'!$J13,0)</f>
        <v>0</v>
      </c>
      <c r="J18" s="23">
        <f>IF(AND(J$11&gt;='Project Schedule'!$G13,J$11&lt;='Project Schedule'!$H13),'Project Schedule'!$K13/'Project Schedule'!$J13,0)</f>
        <v>0</v>
      </c>
      <c r="K18" s="23">
        <f>IF(AND(K$11&gt;='Project Schedule'!$G13,K$11&lt;='Project Schedule'!$H13),'Project Schedule'!$K13/'Project Schedule'!$J13,0)</f>
        <v>0</v>
      </c>
      <c r="L18" s="23">
        <f>IF(AND(L$11&gt;='Project Schedule'!$G13,L$11&lt;='Project Schedule'!$H13),'Project Schedule'!$K13/'Project Schedule'!$J13,0)</f>
        <v>0</v>
      </c>
      <c r="M18" s="23">
        <f>IF(AND(M$11&gt;='Project Schedule'!$G13,M$11&lt;='Project Schedule'!$H13),'Project Schedule'!$K13/'Project Schedule'!$J13,0)</f>
        <v>0</v>
      </c>
      <c r="N18" s="23">
        <f>IF(AND(N$11&gt;='Project Schedule'!$G13,N$11&lt;='Project Schedule'!$H13),'Project Schedule'!$K13/'Project Schedule'!$J13,0)</f>
        <v>0</v>
      </c>
      <c r="O18" s="23">
        <f>IF(AND(O$11&gt;='Project Schedule'!$G13,O$11&lt;='Project Schedule'!$H13),'Project Schedule'!$K13/'Project Schedule'!$J13,0)</f>
        <v>0</v>
      </c>
      <c r="P18" s="23">
        <f>IF(AND(P$11&gt;='Project Schedule'!$G13,P$11&lt;='Project Schedule'!$H13),'Project Schedule'!$K13/'Project Schedule'!$J13,0)</f>
        <v>0</v>
      </c>
      <c r="Q18" s="23">
        <f>IF(AND(Q$11&gt;='Project Schedule'!$G13,Q$11&lt;='Project Schedule'!$H13),'Project Schedule'!$K13/'Project Schedule'!$J13,0)</f>
        <v>0</v>
      </c>
      <c r="R18" s="23">
        <f>IF(AND(R$11&gt;='Project Schedule'!$G13,R$11&lt;='Project Schedule'!$H13),'Project Schedule'!$K13/'Project Schedule'!$J13,0)</f>
        <v>0</v>
      </c>
      <c r="S18" s="23">
        <f>IF(AND(S$11&gt;='Project Schedule'!$G13,S$11&lt;='Project Schedule'!$H13),'Project Schedule'!$K13/'Project Schedule'!$J13,0)</f>
        <v>0</v>
      </c>
      <c r="T18" s="23">
        <f>IF(AND(T$11&gt;='Project Schedule'!$G13,T$11&lt;='Project Schedule'!$H13),'Project Schedule'!$K13/'Project Schedule'!$J13,0)</f>
        <v>0</v>
      </c>
      <c r="U18" s="23">
        <f>IF(AND(U$11&gt;='Project Schedule'!$G13,U$11&lt;='Project Schedule'!$H13),'Project Schedule'!$K13/'Project Schedule'!$J13,0)</f>
        <v>0</v>
      </c>
      <c r="V18" s="23">
        <f>IF(AND(V$11&gt;='Project Schedule'!$G13,V$11&lt;='Project Schedule'!$H13),'Project Schedule'!$K13/'Project Schedule'!$J13,0)</f>
        <v>0</v>
      </c>
      <c r="W18" s="23">
        <f>IF(AND(W$11&gt;='Project Schedule'!$G13,W$11&lt;='Project Schedule'!$H13),'Project Schedule'!$K13/'Project Schedule'!$J13,0)</f>
        <v>0</v>
      </c>
      <c r="X18" s="23">
        <f>IF(AND(X$11&gt;='Project Schedule'!$G13,X$11&lt;='Project Schedule'!$H13),'Project Schedule'!$K13/'Project Schedule'!$J13,0)</f>
        <v>0</v>
      </c>
      <c r="Y18" s="23">
        <f>IF(AND(Y$11&gt;='Project Schedule'!$G13,Y$11&lt;='Project Schedule'!$H13),'Project Schedule'!$K13/'Project Schedule'!$J13,0)</f>
        <v>0</v>
      </c>
      <c r="Z18" s="23">
        <f>IF(AND(Z$11&gt;='Project Schedule'!$G13,Z$11&lt;='Project Schedule'!$H13),'Project Schedule'!$K13/'Project Schedule'!$J13,0)</f>
        <v>0</v>
      </c>
      <c r="AA18" s="23">
        <f>IF(AND(AA$11&gt;='Project Schedule'!$G13,AA$11&lt;='Project Schedule'!$H13),'Project Schedule'!$K13/'Project Schedule'!$J13,0)</f>
        <v>0</v>
      </c>
      <c r="AB18" s="23">
        <f>IF(AND(AB$11&gt;='Project Schedule'!$G13,AB$11&lt;='Project Schedule'!$H13),'Project Schedule'!$K13/'Project Schedule'!$J13,0)</f>
        <v>0</v>
      </c>
      <c r="AC18" s="23">
        <f>IF(AND(AC$11&gt;='Project Schedule'!$G13,AC$11&lt;='Project Schedule'!$H13),'Project Schedule'!$K13/'Project Schedule'!$J13,0)</f>
        <v>0</v>
      </c>
      <c r="AD18" s="23">
        <f>IF(AND(AD$11&gt;='Project Schedule'!$G13,AD$11&lt;='Project Schedule'!$H13),'Project Schedule'!$K13/'Project Schedule'!$J13,0)</f>
        <v>0</v>
      </c>
      <c r="AE18" s="23">
        <f>IF(AND(AE$11&gt;='Project Schedule'!$G13,AE$11&lt;='Project Schedule'!$H13),'Project Schedule'!$K13/'Project Schedule'!$J13,0)</f>
        <v>0</v>
      </c>
      <c r="AF18" s="23">
        <f>IF(AND(AF$11&gt;='Project Schedule'!$G13,AF$11&lt;='Project Schedule'!$H13),'Project Schedule'!$K13/'Project Schedule'!$J13,0)</f>
        <v>0</v>
      </c>
      <c r="AG18" s="23">
        <f>IF(AND(AG$11&gt;='Project Schedule'!$G13,AG$11&lt;='Project Schedule'!$H13),'Project Schedule'!$K13/'Project Schedule'!$J13,0)</f>
        <v>0</v>
      </c>
      <c r="AH18" s="23">
        <f>IF(AND(AH$11&gt;='Project Schedule'!$G13,AH$11&lt;='Project Schedule'!$H13),'Project Schedule'!$K13/'Project Schedule'!$J13,0)</f>
        <v>0</v>
      </c>
      <c r="AI18" s="23">
        <f>IF(AND(AI$11&gt;='Project Schedule'!$G13,AI$11&lt;='Project Schedule'!$H13),'Project Schedule'!$K13/'Project Schedule'!$J13,0)</f>
        <v>0</v>
      </c>
      <c r="AJ18" s="23">
        <f>IF(AND(AJ$11&gt;='Project Schedule'!$G13,AJ$11&lt;='Project Schedule'!$H13),'Project Schedule'!$K13/'Project Schedule'!$J13,0)</f>
        <v>0</v>
      </c>
      <c r="AK18" s="23">
        <f>IF(AND(AK$11&gt;='Project Schedule'!$G13,AK$11&lt;='Project Schedule'!$H13),'Project Schedule'!$K13/'Project Schedule'!$J13,0)</f>
        <v>0</v>
      </c>
      <c r="AL18" s="23">
        <f>IF(AND(AL$11&gt;='Project Schedule'!$G13,AL$11&lt;='Project Schedule'!$H13),'Project Schedule'!$K13/'Project Schedule'!$J13,0)</f>
        <v>0</v>
      </c>
      <c r="AM18" s="23">
        <f>IF(AND(AM$11&gt;='Project Schedule'!$G13,AM$11&lt;='Project Schedule'!$H13),'Project Schedule'!$K13/'Project Schedule'!$J13,0)</f>
        <v>0</v>
      </c>
      <c r="AN18" s="23">
        <f>IF(AND(AN$11&gt;='Project Schedule'!$G13,AN$11&lt;='Project Schedule'!$H13),'Project Schedule'!$K13/'Project Schedule'!$J13,0)</f>
        <v>0</v>
      </c>
      <c r="AO18" s="23">
        <f>IF(AND(AO$11&gt;='Project Schedule'!$G13,AO$11&lt;='Project Schedule'!$H13),'Project Schedule'!$K13/'Project Schedule'!$J13,0)</f>
        <v>0</v>
      </c>
      <c r="AP18" s="23">
        <f>IF(AND(AP$11&gt;='Project Schedule'!$G13,AP$11&lt;='Project Schedule'!$H13),'Project Schedule'!$K13/'Project Schedule'!$J13,0)</f>
        <v>0</v>
      </c>
      <c r="AQ18" s="23">
        <f>IF(AND(AQ$11&gt;='Project Schedule'!$G13,AQ$11&lt;='Project Schedule'!$H13),'Project Schedule'!$K13/'Project Schedule'!$J13,0)</f>
        <v>0</v>
      </c>
      <c r="AR18" s="23">
        <f>IF(AND(AR$11&gt;='Project Schedule'!$G13,AR$11&lt;='Project Schedule'!$H13),'Project Schedule'!$K13/'Project Schedule'!$J13,0)</f>
        <v>0</v>
      </c>
      <c r="AS18" s="23">
        <f>IF(AND(AS$11&gt;='Project Schedule'!$G13,AS$11&lt;='Project Schedule'!$H13),'Project Schedule'!$K13/'Project Schedule'!$J13,0)</f>
        <v>0</v>
      </c>
      <c r="AT18" s="23">
        <f>IF(AND(AT$11&gt;='Project Schedule'!$G13,AT$11&lt;='Project Schedule'!$H13),'Project Schedule'!$K13/'Project Schedule'!$J13,0)</f>
        <v>0</v>
      </c>
      <c r="AU18" s="23">
        <f>IF(AND(AU$11&gt;='Project Schedule'!$G13,AU$11&lt;='Project Schedule'!$H13),'Project Schedule'!$K13/'Project Schedule'!$J13,0)</f>
        <v>0</v>
      </c>
      <c r="AV18" s="23">
        <f>IF(AND(AV$11&gt;='Project Schedule'!$G13,AV$11&lt;='Project Schedule'!$H13),'Project Schedule'!$K13/'Project Schedule'!$J13,0)</f>
        <v>0</v>
      </c>
    </row>
    <row r="19" spans="1:48" s="153" customFormat="1" x14ac:dyDescent="0.35">
      <c r="A19" s="154"/>
      <c r="B19" s="153" t="s">
        <v>289</v>
      </c>
      <c r="C19" s="292"/>
      <c r="D19" s="29">
        <f t="shared" si="4"/>
        <v>1300425.3933662318</v>
      </c>
      <c r="E19" s="23"/>
      <c r="F19" s="23"/>
      <c r="G19" s="23">
        <f>IF(AND(G$11&gt;='Project Schedule'!$G14,G$11&lt;='Project Schedule'!$H14),'Project Schedule'!$K14/'Project Schedule'!$J14,0)</f>
        <v>0</v>
      </c>
      <c r="H19" s="23">
        <f>IF(AND(H$11&gt;='Project Schedule'!$G14,H$11&lt;='Project Schedule'!$H14),'Project Schedule'!$K14/'Project Schedule'!$J14,0)</f>
        <v>0</v>
      </c>
      <c r="I19" s="23">
        <f>IF(AND(I$11&gt;='Project Schedule'!$G14,I$11&lt;='Project Schedule'!$H14),'Project Schedule'!$K14/'Project Schedule'!$J14,0)</f>
        <v>0</v>
      </c>
      <c r="J19" s="23">
        <f>IF(AND(J$11&gt;='Project Schedule'!$G14,J$11&lt;='Project Schedule'!$H14),'Project Schedule'!$K14/'Project Schedule'!$J14,0)</f>
        <v>0</v>
      </c>
      <c r="K19" s="23">
        <f>IF(AND(K$11&gt;='Project Schedule'!$G14,K$11&lt;='Project Schedule'!$H14),'Project Schedule'!$K14/'Project Schedule'!$J14,0)</f>
        <v>0</v>
      </c>
      <c r="L19" s="23">
        <f>IF(AND(L$11&gt;='Project Schedule'!$G14,L$11&lt;='Project Schedule'!$H14),'Project Schedule'!$K14/'Project Schedule'!$J14,0)</f>
        <v>650212.69668311591</v>
      </c>
      <c r="M19" s="23">
        <f>IF(AND(M$11&gt;='Project Schedule'!$G14,M$11&lt;='Project Schedule'!$H14),'Project Schedule'!$K14/'Project Schedule'!$J14,0)</f>
        <v>650212.69668311591</v>
      </c>
      <c r="N19" s="23">
        <f>IF(AND(N$11&gt;='Project Schedule'!$G14,N$11&lt;='Project Schedule'!$H14),'Project Schedule'!$K14/'Project Schedule'!$J14,0)</f>
        <v>0</v>
      </c>
      <c r="O19" s="23">
        <f>IF(AND(O$11&gt;='Project Schedule'!$G14,O$11&lt;='Project Schedule'!$H14),'Project Schedule'!$K14/'Project Schedule'!$J14,0)</f>
        <v>0</v>
      </c>
      <c r="P19" s="23">
        <f>IF(AND(P$11&gt;='Project Schedule'!$G14,P$11&lt;='Project Schedule'!$H14),'Project Schedule'!$K14/'Project Schedule'!$J14,0)</f>
        <v>0</v>
      </c>
      <c r="Q19" s="23">
        <f>IF(AND(Q$11&gt;='Project Schedule'!$G14,Q$11&lt;='Project Schedule'!$H14),'Project Schedule'!$K14/'Project Schedule'!$J14,0)</f>
        <v>0</v>
      </c>
      <c r="R19" s="23">
        <f>IF(AND(R$11&gt;='Project Schedule'!$G14,R$11&lt;='Project Schedule'!$H14),'Project Schedule'!$K14/'Project Schedule'!$J14,0)</f>
        <v>0</v>
      </c>
      <c r="S19" s="23">
        <f>IF(AND(S$11&gt;='Project Schedule'!$G14,S$11&lt;='Project Schedule'!$H14),'Project Schedule'!$K14/'Project Schedule'!$J14,0)</f>
        <v>0</v>
      </c>
      <c r="T19" s="23">
        <f>IF(AND(T$11&gt;='Project Schedule'!$G14,T$11&lt;='Project Schedule'!$H14),'Project Schedule'!$K14/'Project Schedule'!$J14,0)</f>
        <v>0</v>
      </c>
      <c r="U19" s="23">
        <f>IF(AND(U$11&gt;='Project Schedule'!$G14,U$11&lt;='Project Schedule'!$H14),'Project Schedule'!$K14/'Project Schedule'!$J14,0)</f>
        <v>0</v>
      </c>
      <c r="V19" s="23">
        <f>IF(AND(V$11&gt;='Project Schedule'!$G14,V$11&lt;='Project Schedule'!$H14),'Project Schedule'!$K14/'Project Schedule'!$J14,0)</f>
        <v>0</v>
      </c>
      <c r="W19" s="23">
        <f>IF(AND(W$11&gt;='Project Schedule'!$G14,W$11&lt;='Project Schedule'!$H14),'Project Schedule'!$K14/'Project Schedule'!$J14,0)</f>
        <v>0</v>
      </c>
      <c r="X19" s="23">
        <f>IF(AND(X$11&gt;='Project Schedule'!$G14,X$11&lt;='Project Schedule'!$H14),'Project Schedule'!$K14/'Project Schedule'!$J14,0)</f>
        <v>0</v>
      </c>
      <c r="Y19" s="23">
        <f>IF(AND(Y$11&gt;='Project Schedule'!$G14,Y$11&lt;='Project Schedule'!$H14),'Project Schedule'!$K14/'Project Schedule'!$J14,0)</f>
        <v>0</v>
      </c>
      <c r="Z19" s="23">
        <f>IF(AND(Z$11&gt;='Project Schedule'!$G14,Z$11&lt;='Project Schedule'!$H14),'Project Schedule'!$K14/'Project Schedule'!$J14,0)</f>
        <v>0</v>
      </c>
      <c r="AA19" s="23">
        <f>IF(AND(AA$11&gt;='Project Schedule'!$G14,AA$11&lt;='Project Schedule'!$H14),'Project Schedule'!$K14/'Project Schedule'!$J14,0)</f>
        <v>0</v>
      </c>
      <c r="AB19" s="23">
        <f>IF(AND(AB$11&gt;='Project Schedule'!$G14,AB$11&lt;='Project Schedule'!$H14),'Project Schedule'!$K14/'Project Schedule'!$J14,0)</f>
        <v>0</v>
      </c>
      <c r="AC19" s="23">
        <f>IF(AND(AC$11&gt;='Project Schedule'!$G14,AC$11&lt;='Project Schedule'!$H14),'Project Schedule'!$K14/'Project Schedule'!$J14,0)</f>
        <v>0</v>
      </c>
      <c r="AD19" s="23">
        <f>IF(AND(AD$11&gt;='Project Schedule'!$G14,AD$11&lt;='Project Schedule'!$H14),'Project Schedule'!$K14/'Project Schedule'!$J14,0)</f>
        <v>0</v>
      </c>
      <c r="AE19" s="23">
        <f>IF(AND(AE$11&gt;='Project Schedule'!$G14,AE$11&lt;='Project Schedule'!$H14),'Project Schedule'!$K14/'Project Schedule'!$J14,0)</f>
        <v>0</v>
      </c>
      <c r="AF19" s="23">
        <f>IF(AND(AF$11&gt;='Project Schedule'!$G14,AF$11&lt;='Project Schedule'!$H14),'Project Schedule'!$K14/'Project Schedule'!$J14,0)</f>
        <v>0</v>
      </c>
      <c r="AG19" s="23">
        <f>IF(AND(AG$11&gt;='Project Schedule'!$G14,AG$11&lt;='Project Schedule'!$H14),'Project Schedule'!$K14/'Project Schedule'!$J14,0)</f>
        <v>0</v>
      </c>
      <c r="AH19" s="23">
        <f>IF(AND(AH$11&gt;='Project Schedule'!$G14,AH$11&lt;='Project Schedule'!$H14),'Project Schedule'!$K14/'Project Schedule'!$J14,0)</f>
        <v>0</v>
      </c>
      <c r="AI19" s="23">
        <f>IF(AND(AI$11&gt;='Project Schedule'!$G14,AI$11&lt;='Project Schedule'!$H14),'Project Schedule'!$K14/'Project Schedule'!$J14,0)</f>
        <v>0</v>
      </c>
      <c r="AJ19" s="23">
        <f>IF(AND(AJ$11&gt;='Project Schedule'!$G14,AJ$11&lt;='Project Schedule'!$H14),'Project Schedule'!$K14/'Project Schedule'!$J14,0)</f>
        <v>0</v>
      </c>
      <c r="AK19" s="23">
        <f>IF(AND(AK$11&gt;='Project Schedule'!$G14,AK$11&lt;='Project Schedule'!$H14),'Project Schedule'!$K14/'Project Schedule'!$J14,0)</f>
        <v>0</v>
      </c>
      <c r="AL19" s="23">
        <f>IF(AND(AL$11&gt;='Project Schedule'!$G14,AL$11&lt;='Project Schedule'!$H14),'Project Schedule'!$K14/'Project Schedule'!$J14,0)</f>
        <v>0</v>
      </c>
      <c r="AM19" s="23">
        <f>IF(AND(AM$11&gt;='Project Schedule'!$G14,AM$11&lt;='Project Schedule'!$H14),'Project Schedule'!$K14/'Project Schedule'!$J14,0)</f>
        <v>0</v>
      </c>
      <c r="AN19" s="23">
        <f>IF(AND(AN$11&gt;='Project Schedule'!$G14,AN$11&lt;='Project Schedule'!$H14),'Project Schedule'!$K14/'Project Schedule'!$J14,0)</f>
        <v>0</v>
      </c>
      <c r="AO19" s="23">
        <f>IF(AND(AO$11&gt;='Project Schedule'!$G14,AO$11&lt;='Project Schedule'!$H14),'Project Schedule'!$K14/'Project Schedule'!$J14,0)</f>
        <v>0</v>
      </c>
      <c r="AP19" s="23">
        <f>IF(AND(AP$11&gt;='Project Schedule'!$G14,AP$11&lt;='Project Schedule'!$H14),'Project Schedule'!$K14/'Project Schedule'!$J14,0)</f>
        <v>0</v>
      </c>
      <c r="AQ19" s="23">
        <f>IF(AND(AQ$11&gt;='Project Schedule'!$G14,AQ$11&lt;='Project Schedule'!$H14),'Project Schedule'!$K14/'Project Schedule'!$J14,0)</f>
        <v>0</v>
      </c>
      <c r="AR19" s="23">
        <f>IF(AND(AR$11&gt;='Project Schedule'!$G14,AR$11&lt;='Project Schedule'!$H14),'Project Schedule'!$K14/'Project Schedule'!$J14,0)</f>
        <v>0</v>
      </c>
      <c r="AS19" s="23">
        <f>IF(AND(AS$11&gt;='Project Schedule'!$G14,AS$11&lt;='Project Schedule'!$H14),'Project Schedule'!$K14/'Project Schedule'!$J14,0)</f>
        <v>0</v>
      </c>
      <c r="AT19" s="23">
        <f>IF(AND(AT$11&gt;='Project Schedule'!$G14,AT$11&lt;='Project Schedule'!$H14),'Project Schedule'!$K14/'Project Schedule'!$J14,0)</f>
        <v>0</v>
      </c>
      <c r="AU19" s="23">
        <f>IF(AND(AU$11&gt;='Project Schedule'!$G14,AU$11&lt;='Project Schedule'!$H14),'Project Schedule'!$K14/'Project Schedule'!$J14,0)</f>
        <v>0</v>
      </c>
      <c r="AV19" s="23">
        <f>IF(AND(AV$11&gt;='Project Schedule'!$G14,AV$11&lt;='Project Schedule'!$H14),'Project Schedule'!$K14/'Project Schedule'!$J14,0)</f>
        <v>0</v>
      </c>
    </row>
    <row r="20" spans="1:48" s="153" customFormat="1" x14ac:dyDescent="0.35">
      <c r="A20" s="154"/>
      <c r="B20" s="153" t="s">
        <v>290</v>
      </c>
      <c r="C20" s="292"/>
      <c r="D20" s="29">
        <f t="shared" si="4"/>
        <v>4644376.4048794005</v>
      </c>
      <c r="E20" s="23"/>
      <c r="F20" s="23"/>
      <c r="G20" s="23">
        <f>IF(AND(G$11&gt;='Project Schedule'!$G15,G$11&lt;='Project Schedule'!$H15),'Project Schedule'!$K15/'Project Schedule'!$J15,0)</f>
        <v>0</v>
      </c>
      <c r="H20" s="23">
        <f>IF(AND(H$11&gt;='Project Schedule'!$G15,H$11&lt;='Project Schedule'!$H15),'Project Schedule'!$K15/'Project Schedule'!$J15,0)</f>
        <v>0</v>
      </c>
      <c r="I20" s="23">
        <f>IF(AND(I$11&gt;='Project Schedule'!$G15,I$11&lt;='Project Schedule'!$H15),'Project Schedule'!$K15/'Project Schedule'!$J15,0)</f>
        <v>0</v>
      </c>
      <c r="J20" s="23">
        <f>IF(AND(J$11&gt;='Project Schedule'!$G15,J$11&lt;='Project Schedule'!$H15),'Project Schedule'!$K15/'Project Schedule'!$J15,0)</f>
        <v>0</v>
      </c>
      <c r="K20" s="23">
        <f>IF(AND(K$11&gt;='Project Schedule'!$G15,K$11&lt;='Project Schedule'!$H15),'Project Schedule'!$K15/'Project Schedule'!$J15,0)</f>
        <v>0</v>
      </c>
      <c r="L20" s="23">
        <f>IF(AND(L$11&gt;='Project Schedule'!$G15,L$11&lt;='Project Schedule'!$H15),'Project Schedule'!$K15/'Project Schedule'!$J15,0)</f>
        <v>1548125.4682931334</v>
      </c>
      <c r="M20" s="23">
        <f>IF(AND(M$11&gt;='Project Schedule'!$G15,M$11&lt;='Project Schedule'!$H15),'Project Schedule'!$K15/'Project Schedule'!$J15,0)</f>
        <v>1548125.4682931334</v>
      </c>
      <c r="N20" s="23">
        <f>IF(AND(N$11&gt;='Project Schedule'!$G15,N$11&lt;='Project Schedule'!$H15),'Project Schedule'!$K15/'Project Schedule'!$J15,0)</f>
        <v>1548125.4682931334</v>
      </c>
      <c r="O20" s="23">
        <f>IF(AND(O$11&gt;='Project Schedule'!$G15,O$11&lt;='Project Schedule'!$H15),'Project Schedule'!$K15/'Project Schedule'!$J15,0)</f>
        <v>0</v>
      </c>
      <c r="P20" s="23">
        <f>IF(AND(P$11&gt;='Project Schedule'!$G15,P$11&lt;='Project Schedule'!$H15),'Project Schedule'!$K15/'Project Schedule'!$J15,0)</f>
        <v>0</v>
      </c>
      <c r="Q20" s="23">
        <f>IF(AND(Q$11&gt;='Project Schedule'!$G15,Q$11&lt;='Project Schedule'!$H15),'Project Schedule'!$K15/'Project Schedule'!$J15,0)</f>
        <v>0</v>
      </c>
      <c r="R20" s="23">
        <f>IF(AND(R$11&gt;='Project Schedule'!$G15,R$11&lt;='Project Schedule'!$H15),'Project Schedule'!$K15/'Project Schedule'!$J15,0)</f>
        <v>0</v>
      </c>
      <c r="S20" s="23">
        <f>IF(AND(S$11&gt;='Project Schedule'!$G15,S$11&lt;='Project Schedule'!$H15),'Project Schedule'!$K15/'Project Schedule'!$J15,0)</f>
        <v>0</v>
      </c>
      <c r="T20" s="23">
        <f>IF(AND(T$11&gt;='Project Schedule'!$G15,T$11&lt;='Project Schedule'!$H15),'Project Schedule'!$K15/'Project Schedule'!$J15,0)</f>
        <v>0</v>
      </c>
      <c r="U20" s="23">
        <f>IF(AND(U$11&gt;='Project Schedule'!$G15,U$11&lt;='Project Schedule'!$H15),'Project Schedule'!$K15/'Project Schedule'!$J15,0)</f>
        <v>0</v>
      </c>
      <c r="V20" s="23">
        <f>IF(AND(V$11&gt;='Project Schedule'!$G15,V$11&lt;='Project Schedule'!$H15),'Project Schedule'!$K15/'Project Schedule'!$J15,0)</f>
        <v>0</v>
      </c>
      <c r="W20" s="23">
        <f>IF(AND(W$11&gt;='Project Schedule'!$G15,W$11&lt;='Project Schedule'!$H15),'Project Schedule'!$K15/'Project Schedule'!$J15,0)</f>
        <v>0</v>
      </c>
      <c r="X20" s="23">
        <f>IF(AND(X$11&gt;='Project Schedule'!$G15,X$11&lt;='Project Schedule'!$H15),'Project Schedule'!$K15/'Project Schedule'!$J15,0)</f>
        <v>0</v>
      </c>
      <c r="Y20" s="23">
        <f>IF(AND(Y$11&gt;='Project Schedule'!$G15,Y$11&lt;='Project Schedule'!$H15),'Project Schedule'!$K15/'Project Schedule'!$J15,0)</f>
        <v>0</v>
      </c>
      <c r="Z20" s="23">
        <f>IF(AND(Z$11&gt;='Project Schedule'!$G15,Z$11&lt;='Project Schedule'!$H15),'Project Schedule'!$K15/'Project Schedule'!$J15,0)</f>
        <v>0</v>
      </c>
      <c r="AA20" s="23">
        <f>IF(AND(AA$11&gt;='Project Schedule'!$G15,AA$11&lt;='Project Schedule'!$H15),'Project Schedule'!$K15/'Project Schedule'!$J15,0)</f>
        <v>0</v>
      </c>
      <c r="AB20" s="23">
        <f>IF(AND(AB$11&gt;='Project Schedule'!$G15,AB$11&lt;='Project Schedule'!$H15),'Project Schedule'!$K15/'Project Schedule'!$J15,0)</f>
        <v>0</v>
      </c>
      <c r="AC20" s="23">
        <f>IF(AND(AC$11&gt;='Project Schedule'!$G15,AC$11&lt;='Project Schedule'!$H15),'Project Schedule'!$K15/'Project Schedule'!$J15,0)</f>
        <v>0</v>
      </c>
      <c r="AD20" s="23">
        <f>IF(AND(AD$11&gt;='Project Schedule'!$G15,AD$11&lt;='Project Schedule'!$H15),'Project Schedule'!$K15/'Project Schedule'!$J15,0)</f>
        <v>0</v>
      </c>
      <c r="AE20" s="23">
        <f>IF(AND(AE$11&gt;='Project Schedule'!$G15,AE$11&lt;='Project Schedule'!$H15),'Project Schedule'!$K15/'Project Schedule'!$J15,0)</f>
        <v>0</v>
      </c>
      <c r="AF20" s="23">
        <f>IF(AND(AF$11&gt;='Project Schedule'!$G15,AF$11&lt;='Project Schedule'!$H15),'Project Schedule'!$K15/'Project Schedule'!$J15,0)</f>
        <v>0</v>
      </c>
      <c r="AG20" s="23">
        <f>IF(AND(AG$11&gt;='Project Schedule'!$G15,AG$11&lt;='Project Schedule'!$H15),'Project Schedule'!$K15/'Project Schedule'!$J15,0)</f>
        <v>0</v>
      </c>
      <c r="AH20" s="23">
        <f>IF(AND(AH$11&gt;='Project Schedule'!$G15,AH$11&lt;='Project Schedule'!$H15),'Project Schedule'!$K15/'Project Schedule'!$J15,0)</f>
        <v>0</v>
      </c>
      <c r="AI20" s="23">
        <f>IF(AND(AI$11&gt;='Project Schedule'!$G15,AI$11&lt;='Project Schedule'!$H15),'Project Schedule'!$K15/'Project Schedule'!$J15,0)</f>
        <v>0</v>
      </c>
      <c r="AJ20" s="23">
        <f>IF(AND(AJ$11&gt;='Project Schedule'!$G15,AJ$11&lt;='Project Schedule'!$H15),'Project Schedule'!$K15/'Project Schedule'!$J15,0)</f>
        <v>0</v>
      </c>
      <c r="AK20" s="23">
        <f>IF(AND(AK$11&gt;='Project Schedule'!$G15,AK$11&lt;='Project Schedule'!$H15),'Project Schedule'!$K15/'Project Schedule'!$J15,0)</f>
        <v>0</v>
      </c>
      <c r="AL20" s="23">
        <f>IF(AND(AL$11&gt;='Project Schedule'!$G15,AL$11&lt;='Project Schedule'!$H15),'Project Schedule'!$K15/'Project Schedule'!$J15,0)</f>
        <v>0</v>
      </c>
      <c r="AM20" s="23">
        <f>IF(AND(AM$11&gt;='Project Schedule'!$G15,AM$11&lt;='Project Schedule'!$H15),'Project Schedule'!$K15/'Project Schedule'!$J15,0)</f>
        <v>0</v>
      </c>
      <c r="AN20" s="23">
        <f>IF(AND(AN$11&gt;='Project Schedule'!$G15,AN$11&lt;='Project Schedule'!$H15),'Project Schedule'!$K15/'Project Schedule'!$J15,0)</f>
        <v>0</v>
      </c>
      <c r="AO20" s="23">
        <f>IF(AND(AO$11&gt;='Project Schedule'!$G15,AO$11&lt;='Project Schedule'!$H15),'Project Schedule'!$K15/'Project Schedule'!$J15,0)</f>
        <v>0</v>
      </c>
      <c r="AP20" s="23">
        <f>IF(AND(AP$11&gt;='Project Schedule'!$G15,AP$11&lt;='Project Schedule'!$H15),'Project Schedule'!$K15/'Project Schedule'!$J15,0)</f>
        <v>0</v>
      </c>
      <c r="AQ20" s="23">
        <f>IF(AND(AQ$11&gt;='Project Schedule'!$G15,AQ$11&lt;='Project Schedule'!$H15),'Project Schedule'!$K15/'Project Schedule'!$J15,0)</f>
        <v>0</v>
      </c>
      <c r="AR20" s="23">
        <f>IF(AND(AR$11&gt;='Project Schedule'!$G15,AR$11&lt;='Project Schedule'!$H15),'Project Schedule'!$K15/'Project Schedule'!$J15,0)</f>
        <v>0</v>
      </c>
      <c r="AS20" s="23">
        <f>IF(AND(AS$11&gt;='Project Schedule'!$G15,AS$11&lt;='Project Schedule'!$H15),'Project Schedule'!$K15/'Project Schedule'!$J15,0)</f>
        <v>0</v>
      </c>
      <c r="AT20" s="23">
        <f>IF(AND(AT$11&gt;='Project Schedule'!$G15,AT$11&lt;='Project Schedule'!$H15),'Project Schedule'!$K15/'Project Schedule'!$J15,0)</f>
        <v>0</v>
      </c>
      <c r="AU20" s="23">
        <f>IF(AND(AU$11&gt;='Project Schedule'!$G15,AU$11&lt;='Project Schedule'!$H15),'Project Schedule'!$K15/'Project Schedule'!$J15,0)</f>
        <v>0</v>
      </c>
      <c r="AV20" s="23">
        <f>IF(AND(AV$11&gt;='Project Schedule'!$G15,AV$11&lt;='Project Schedule'!$H15),'Project Schedule'!$K15/'Project Schedule'!$J15,0)</f>
        <v>0</v>
      </c>
    </row>
    <row r="21" spans="1:48" s="153" customFormat="1" x14ac:dyDescent="0.35">
      <c r="A21" s="154"/>
      <c r="B21" s="153" t="s">
        <v>291</v>
      </c>
      <c r="C21" s="292"/>
      <c r="D21" s="305">
        <f t="shared" si="4"/>
        <v>36783461.12664485</v>
      </c>
      <c r="E21" s="305"/>
      <c r="F21" s="293"/>
      <c r="G21" s="293">
        <f>IF(AND(G$11&gt;='Project Schedule'!$G16,G$11&lt;='Project Schedule'!$H16),'Project Schedule'!$K16/'Project Schedule'!$J16,0)</f>
        <v>0</v>
      </c>
      <c r="H21" s="293">
        <f>IF(AND(H$11&gt;='Project Schedule'!$G16,H$11&lt;='Project Schedule'!$H16),'Project Schedule'!$K16/'Project Schedule'!$J16,0)</f>
        <v>0</v>
      </c>
      <c r="I21" s="293">
        <f>IF(AND(I$11&gt;='Project Schedule'!$G16,I$11&lt;='Project Schedule'!$H16),'Project Schedule'!$K16/'Project Schedule'!$J16,0)</f>
        <v>0</v>
      </c>
      <c r="J21" s="293">
        <f>IF(AND(J$11&gt;='Project Schedule'!$G16,J$11&lt;='Project Schedule'!$H16),'Project Schedule'!$K16/'Project Schedule'!$J16,0)</f>
        <v>0</v>
      </c>
      <c r="K21" s="293">
        <f>IF(AND(K$11&gt;='Project Schedule'!$G16,K$11&lt;='Project Schedule'!$H16),'Project Schedule'!$K16/'Project Schedule'!$J16,0)</f>
        <v>0</v>
      </c>
      <c r="L21" s="293">
        <f>IF(AND(L$11&gt;='Project Schedule'!$G16,L$11&lt;='Project Schedule'!$H16),'Project Schedule'!$K16/'Project Schedule'!$J16,0)</f>
        <v>7356692.2253289698</v>
      </c>
      <c r="M21" s="293">
        <f>IF(AND(M$11&gt;='Project Schedule'!$G16,M$11&lt;='Project Schedule'!$H16),'Project Schedule'!$K16/'Project Schedule'!$J16,0)</f>
        <v>7356692.2253289698</v>
      </c>
      <c r="N21" s="293">
        <f>IF(AND(N$11&gt;='Project Schedule'!$G16,N$11&lt;='Project Schedule'!$H16),'Project Schedule'!$K16/'Project Schedule'!$J16,0)</f>
        <v>7356692.2253289698</v>
      </c>
      <c r="O21" s="293">
        <f>IF(AND(O$11&gt;='Project Schedule'!$G16,O$11&lt;='Project Schedule'!$H16),'Project Schedule'!$K16/'Project Schedule'!$J16,0)</f>
        <v>7356692.2253289698</v>
      </c>
      <c r="P21" s="293">
        <f>IF(AND(P$11&gt;='Project Schedule'!$G16,P$11&lt;='Project Schedule'!$H16),'Project Schedule'!$K16/'Project Schedule'!$J16,0)</f>
        <v>7356692.2253289698</v>
      </c>
      <c r="Q21" s="293">
        <f>IF(AND(Q$11&gt;='Project Schedule'!$G16,Q$11&lt;='Project Schedule'!$H16),'Project Schedule'!$K16/'Project Schedule'!$J16,0)</f>
        <v>0</v>
      </c>
      <c r="R21" s="293">
        <f>IF(AND(R$11&gt;='Project Schedule'!$G16,R$11&lt;='Project Schedule'!$H16),'Project Schedule'!$K16/'Project Schedule'!$J16,0)</f>
        <v>0</v>
      </c>
      <c r="S21" s="293">
        <f>IF(AND(S$11&gt;='Project Schedule'!$G16,S$11&lt;='Project Schedule'!$H16),'Project Schedule'!$K16/'Project Schedule'!$J16,0)</f>
        <v>0</v>
      </c>
      <c r="T21" s="293">
        <f>IF(AND(T$11&gt;='Project Schedule'!$G16,T$11&lt;='Project Schedule'!$H16),'Project Schedule'!$K16/'Project Schedule'!$J16,0)</f>
        <v>0</v>
      </c>
      <c r="U21" s="293">
        <f>IF(AND(U$11&gt;='Project Schedule'!$G16,U$11&lt;='Project Schedule'!$H16),'Project Schedule'!$K16/'Project Schedule'!$J16,0)</f>
        <v>0</v>
      </c>
      <c r="V21" s="293">
        <f>IF(AND(V$11&gt;='Project Schedule'!$G16,V$11&lt;='Project Schedule'!$H16),'Project Schedule'!$K16/'Project Schedule'!$J16,0)</f>
        <v>0</v>
      </c>
      <c r="W21" s="293">
        <f>IF(AND(W$11&gt;='Project Schedule'!$G16,W$11&lt;='Project Schedule'!$H16),'Project Schedule'!$K16/'Project Schedule'!$J16,0)</f>
        <v>0</v>
      </c>
      <c r="X21" s="293">
        <f>IF(AND(X$11&gt;='Project Schedule'!$G16,X$11&lt;='Project Schedule'!$H16),'Project Schedule'!$K16/'Project Schedule'!$J16,0)</f>
        <v>0</v>
      </c>
      <c r="Y21" s="293">
        <f>IF(AND(Y$11&gt;='Project Schedule'!$G16,Y$11&lt;='Project Schedule'!$H16),'Project Schedule'!$K16/'Project Schedule'!$J16,0)</f>
        <v>0</v>
      </c>
      <c r="Z21" s="293">
        <f>IF(AND(Z$11&gt;='Project Schedule'!$G16,Z$11&lt;='Project Schedule'!$H16),'Project Schedule'!$K16/'Project Schedule'!$J16,0)</f>
        <v>0</v>
      </c>
      <c r="AA21" s="293">
        <f>IF(AND(AA$11&gt;='Project Schedule'!$G16,AA$11&lt;='Project Schedule'!$H16),'Project Schedule'!$K16/'Project Schedule'!$J16,0)</f>
        <v>0</v>
      </c>
      <c r="AB21" s="293">
        <f>IF(AND(AB$11&gt;='Project Schedule'!$G16,AB$11&lt;='Project Schedule'!$H16),'Project Schedule'!$K16/'Project Schedule'!$J16,0)</f>
        <v>0</v>
      </c>
      <c r="AC21" s="293">
        <f>IF(AND(AC$11&gt;='Project Schedule'!$G16,AC$11&lt;='Project Schedule'!$H16),'Project Schedule'!$K16/'Project Schedule'!$J16,0)</f>
        <v>0</v>
      </c>
      <c r="AD21" s="293">
        <f>IF(AND(AD$11&gt;='Project Schedule'!$G16,AD$11&lt;='Project Schedule'!$H16),'Project Schedule'!$K16/'Project Schedule'!$J16,0)</f>
        <v>0</v>
      </c>
      <c r="AE21" s="293">
        <f>IF(AND(AE$11&gt;='Project Schedule'!$G16,AE$11&lt;='Project Schedule'!$H16),'Project Schedule'!$K16/'Project Schedule'!$J16,0)</f>
        <v>0</v>
      </c>
      <c r="AF21" s="293">
        <f>IF(AND(AF$11&gt;='Project Schedule'!$G16,AF$11&lt;='Project Schedule'!$H16),'Project Schedule'!$K16/'Project Schedule'!$J16,0)</f>
        <v>0</v>
      </c>
      <c r="AG21" s="293">
        <f>IF(AND(AG$11&gt;='Project Schedule'!$G16,AG$11&lt;='Project Schedule'!$H16),'Project Schedule'!$K16/'Project Schedule'!$J16,0)</f>
        <v>0</v>
      </c>
      <c r="AH21" s="293">
        <f>IF(AND(AH$11&gt;='Project Schedule'!$G16,AH$11&lt;='Project Schedule'!$H16),'Project Schedule'!$K16/'Project Schedule'!$J16,0)</f>
        <v>0</v>
      </c>
      <c r="AI21" s="293">
        <f>IF(AND(AI$11&gt;='Project Schedule'!$G16,AI$11&lt;='Project Schedule'!$H16),'Project Schedule'!$K16/'Project Schedule'!$J16,0)</f>
        <v>0</v>
      </c>
      <c r="AJ21" s="293">
        <f>IF(AND(AJ$11&gt;='Project Schedule'!$G16,AJ$11&lt;='Project Schedule'!$H16),'Project Schedule'!$K16/'Project Schedule'!$J16,0)</f>
        <v>0</v>
      </c>
      <c r="AK21" s="293">
        <f>IF(AND(AK$11&gt;='Project Schedule'!$G16,AK$11&lt;='Project Schedule'!$H16),'Project Schedule'!$K16/'Project Schedule'!$J16,0)</f>
        <v>0</v>
      </c>
      <c r="AL21" s="293">
        <f>IF(AND(AL$11&gt;='Project Schedule'!$G16,AL$11&lt;='Project Schedule'!$H16),'Project Schedule'!$K16/'Project Schedule'!$J16,0)</f>
        <v>0</v>
      </c>
      <c r="AM21" s="293">
        <f>IF(AND(AM$11&gt;='Project Schedule'!$G16,AM$11&lt;='Project Schedule'!$H16),'Project Schedule'!$K16/'Project Schedule'!$J16,0)</f>
        <v>0</v>
      </c>
      <c r="AN21" s="293">
        <f>IF(AND(AN$11&gt;='Project Schedule'!$G16,AN$11&lt;='Project Schedule'!$H16),'Project Schedule'!$K16/'Project Schedule'!$J16,0)</f>
        <v>0</v>
      </c>
      <c r="AO21" s="293">
        <f>IF(AND(AO$11&gt;='Project Schedule'!$G16,AO$11&lt;='Project Schedule'!$H16),'Project Schedule'!$K16/'Project Schedule'!$J16,0)</f>
        <v>0</v>
      </c>
      <c r="AP21" s="293">
        <f>IF(AND(AP$11&gt;='Project Schedule'!$G16,AP$11&lt;='Project Schedule'!$H16),'Project Schedule'!$K16/'Project Schedule'!$J16,0)</f>
        <v>0</v>
      </c>
      <c r="AQ21" s="293">
        <f>IF(AND(AQ$11&gt;='Project Schedule'!$G16,AQ$11&lt;='Project Schedule'!$H16),'Project Schedule'!$K16/'Project Schedule'!$J16,0)</f>
        <v>0</v>
      </c>
      <c r="AR21" s="293">
        <f>IF(AND(AR$11&gt;='Project Schedule'!$G16,AR$11&lt;='Project Schedule'!$H16),'Project Schedule'!$K16/'Project Schedule'!$J16,0)</f>
        <v>0</v>
      </c>
      <c r="AS21" s="293">
        <f>IF(AND(AS$11&gt;='Project Schedule'!$G16,AS$11&lt;='Project Schedule'!$H16),'Project Schedule'!$K16/'Project Schedule'!$J16,0)</f>
        <v>0</v>
      </c>
      <c r="AT21" s="293">
        <f>IF(AND(AT$11&gt;='Project Schedule'!$G16,AT$11&lt;='Project Schedule'!$H16),'Project Schedule'!$K16/'Project Schedule'!$J16,0)</f>
        <v>0</v>
      </c>
      <c r="AU21" s="293">
        <f>IF(AND(AU$11&gt;='Project Schedule'!$G16,AU$11&lt;='Project Schedule'!$H16),'Project Schedule'!$K16/'Project Schedule'!$J16,0)</f>
        <v>0</v>
      </c>
      <c r="AV21" s="293">
        <f>IF(AND(AV$11&gt;='Project Schedule'!$G16,AV$11&lt;='Project Schedule'!$H16),'Project Schedule'!$K16/'Project Schedule'!$J16,0)</f>
        <v>0</v>
      </c>
    </row>
    <row r="22" spans="1:48" s="8" customFormat="1" ht="14.15" customHeight="1" x14ac:dyDescent="0.35">
      <c r="A22" s="8" t="s">
        <v>292</v>
      </c>
      <c r="D22" s="179">
        <f t="shared" si="4"/>
        <v>46443764.048794001</v>
      </c>
      <c r="E22" s="179"/>
      <c r="F22" s="179"/>
      <c r="G22" s="179">
        <f>SUM(G17:G21)</f>
        <v>0</v>
      </c>
      <c r="H22" s="179">
        <f t="shared" ref="H22:AV22" si="5">SUM(H17:H21)</f>
        <v>0</v>
      </c>
      <c r="I22" s="179">
        <f t="shared" si="5"/>
        <v>0</v>
      </c>
      <c r="J22" s="179">
        <f t="shared" si="5"/>
        <v>0</v>
      </c>
      <c r="K22" s="179">
        <f t="shared" si="5"/>
        <v>0</v>
      </c>
      <c r="L22" s="179">
        <f t="shared" si="5"/>
        <v>10298130.615085922</v>
      </c>
      <c r="M22" s="179">
        <f t="shared" si="5"/>
        <v>10298130.615085922</v>
      </c>
      <c r="N22" s="179">
        <f t="shared" si="5"/>
        <v>9647917.9184028078</v>
      </c>
      <c r="O22" s="179">
        <f t="shared" si="5"/>
        <v>8099792.4501096737</v>
      </c>
      <c r="P22" s="179">
        <f t="shared" si="5"/>
        <v>8099792.4501096737</v>
      </c>
      <c r="Q22" s="179">
        <f t="shared" si="5"/>
        <v>0</v>
      </c>
      <c r="R22" s="179">
        <f t="shared" si="5"/>
        <v>0</v>
      </c>
      <c r="S22" s="179">
        <f t="shared" si="5"/>
        <v>0</v>
      </c>
      <c r="T22" s="179">
        <f t="shared" si="5"/>
        <v>0</v>
      </c>
      <c r="U22" s="179">
        <f t="shared" si="5"/>
        <v>0</v>
      </c>
      <c r="V22" s="179">
        <f t="shared" si="5"/>
        <v>0</v>
      </c>
      <c r="W22" s="179">
        <f t="shared" si="5"/>
        <v>0</v>
      </c>
      <c r="X22" s="179">
        <f t="shared" si="5"/>
        <v>0</v>
      </c>
      <c r="Y22" s="179">
        <f t="shared" si="5"/>
        <v>0</v>
      </c>
      <c r="Z22" s="179">
        <f t="shared" si="5"/>
        <v>0</v>
      </c>
      <c r="AA22" s="179">
        <f t="shared" si="5"/>
        <v>0</v>
      </c>
      <c r="AB22" s="179">
        <f t="shared" si="5"/>
        <v>0</v>
      </c>
      <c r="AC22" s="179">
        <f t="shared" si="5"/>
        <v>0</v>
      </c>
      <c r="AD22" s="179">
        <f t="shared" si="5"/>
        <v>0</v>
      </c>
      <c r="AE22" s="179">
        <f t="shared" si="5"/>
        <v>0</v>
      </c>
      <c r="AF22" s="179">
        <f t="shared" si="5"/>
        <v>0</v>
      </c>
      <c r="AG22" s="179">
        <f t="shared" si="5"/>
        <v>0</v>
      </c>
      <c r="AH22" s="179">
        <f t="shared" si="5"/>
        <v>0</v>
      </c>
      <c r="AI22" s="179">
        <f t="shared" si="5"/>
        <v>0</v>
      </c>
      <c r="AJ22" s="179">
        <f t="shared" si="5"/>
        <v>0</v>
      </c>
      <c r="AK22" s="179">
        <f t="shared" si="5"/>
        <v>0</v>
      </c>
      <c r="AL22" s="179">
        <f t="shared" si="5"/>
        <v>0</v>
      </c>
      <c r="AM22" s="179">
        <f t="shared" si="5"/>
        <v>0</v>
      </c>
      <c r="AN22" s="179">
        <f t="shared" si="5"/>
        <v>0</v>
      </c>
      <c r="AO22" s="179">
        <f t="shared" si="5"/>
        <v>0</v>
      </c>
      <c r="AP22" s="179">
        <f t="shared" si="5"/>
        <v>0</v>
      </c>
      <c r="AQ22" s="179">
        <f t="shared" si="5"/>
        <v>0</v>
      </c>
      <c r="AR22" s="179">
        <f t="shared" si="5"/>
        <v>0</v>
      </c>
      <c r="AS22" s="179">
        <f t="shared" si="5"/>
        <v>0</v>
      </c>
      <c r="AT22" s="179">
        <f t="shared" si="5"/>
        <v>0</v>
      </c>
      <c r="AU22" s="179">
        <f t="shared" si="5"/>
        <v>0</v>
      </c>
      <c r="AV22" s="179">
        <f t="shared" si="5"/>
        <v>0</v>
      </c>
    </row>
    <row r="23" spans="1:48" x14ac:dyDescent="0.35">
      <c r="A23" s="38" t="s">
        <v>293</v>
      </c>
      <c r="D23" s="179">
        <f>SUM(G23:AK23)</f>
        <v>31385931.031986251</v>
      </c>
      <c r="E23" s="179"/>
      <c r="F23" s="179"/>
      <c r="G23" s="179">
        <f>G22*G12</f>
        <v>0</v>
      </c>
      <c r="H23" s="179">
        <f t="shared" ref="H23:AV23" si="6">H22*H12</f>
        <v>0</v>
      </c>
      <c r="I23" s="179">
        <f t="shared" si="6"/>
        <v>0</v>
      </c>
      <c r="J23" s="179">
        <f t="shared" si="6"/>
        <v>0</v>
      </c>
      <c r="K23" s="179">
        <f t="shared" si="6"/>
        <v>0</v>
      </c>
      <c r="L23" s="179">
        <f t="shared" si="6"/>
        <v>7856394.5392890861</v>
      </c>
      <c r="M23" s="179">
        <f t="shared" si="6"/>
        <v>7342424.8030739119</v>
      </c>
      <c r="N23" s="179">
        <f t="shared" si="6"/>
        <v>6428815.0809477055</v>
      </c>
      <c r="O23" s="179">
        <f t="shared" si="6"/>
        <v>5044143.6576245585</v>
      </c>
      <c r="P23" s="179">
        <f t="shared" si="6"/>
        <v>4714152.9510509893</v>
      </c>
      <c r="Q23" s="179">
        <f t="shared" si="6"/>
        <v>0</v>
      </c>
      <c r="R23" s="179">
        <f t="shared" si="6"/>
        <v>0</v>
      </c>
      <c r="S23" s="179">
        <f t="shared" si="6"/>
        <v>0</v>
      </c>
      <c r="T23" s="179">
        <f t="shared" si="6"/>
        <v>0</v>
      </c>
      <c r="U23" s="179">
        <f t="shared" si="6"/>
        <v>0</v>
      </c>
      <c r="V23" s="179">
        <f t="shared" si="6"/>
        <v>0</v>
      </c>
      <c r="W23" s="179">
        <f t="shared" si="6"/>
        <v>0</v>
      </c>
      <c r="X23" s="179">
        <f t="shared" si="6"/>
        <v>0</v>
      </c>
      <c r="Y23" s="179">
        <f t="shared" si="6"/>
        <v>0</v>
      </c>
      <c r="Z23" s="179">
        <f t="shared" si="6"/>
        <v>0</v>
      </c>
      <c r="AA23" s="179">
        <f t="shared" si="6"/>
        <v>0</v>
      </c>
      <c r="AB23" s="179">
        <f t="shared" si="6"/>
        <v>0</v>
      </c>
      <c r="AC23" s="179">
        <f t="shared" si="6"/>
        <v>0</v>
      </c>
      <c r="AD23" s="179">
        <f t="shared" si="6"/>
        <v>0</v>
      </c>
      <c r="AE23" s="179">
        <f t="shared" si="6"/>
        <v>0</v>
      </c>
      <c r="AF23" s="179">
        <f t="shared" si="6"/>
        <v>0</v>
      </c>
      <c r="AG23" s="179">
        <f t="shared" si="6"/>
        <v>0</v>
      </c>
      <c r="AH23" s="179">
        <f t="shared" si="6"/>
        <v>0</v>
      </c>
      <c r="AI23" s="179">
        <f t="shared" si="6"/>
        <v>0</v>
      </c>
      <c r="AJ23" s="179">
        <f t="shared" si="6"/>
        <v>0</v>
      </c>
      <c r="AK23" s="179">
        <f t="shared" si="6"/>
        <v>0</v>
      </c>
      <c r="AL23" s="179">
        <f t="shared" si="6"/>
        <v>0</v>
      </c>
      <c r="AM23" s="179">
        <f t="shared" si="6"/>
        <v>0</v>
      </c>
      <c r="AN23" s="179">
        <f t="shared" si="6"/>
        <v>0</v>
      </c>
      <c r="AO23" s="179">
        <f t="shared" si="6"/>
        <v>0</v>
      </c>
      <c r="AP23" s="179">
        <f t="shared" si="6"/>
        <v>0</v>
      </c>
      <c r="AQ23" s="179">
        <f t="shared" si="6"/>
        <v>0</v>
      </c>
      <c r="AR23" s="179">
        <f t="shared" si="6"/>
        <v>0</v>
      </c>
      <c r="AS23" s="179">
        <f t="shared" si="6"/>
        <v>0</v>
      </c>
      <c r="AT23" s="179">
        <f t="shared" si="6"/>
        <v>0</v>
      </c>
      <c r="AU23" s="179">
        <f t="shared" si="6"/>
        <v>0</v>
      </c>
      <c r="AV23" s="179">
        <f t="shared" si="6"/>
        <v>0</v>
      </c>
    </row>
    <row r="24" spans="1:48" ht="2.9" customHeight="1" thickBot="1" x14ac:dyDescent="0.4">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row>
    <row r="27" spans="1:48" x14ac:dyDescent="0.35">
      <c r="L27" s="19"/>
    </row>
  </sheetData>
  <mergeCells count="5">
    <mergeCell ref="A2:B2"/>
    <mergeCell ref="A10:B10"/>
    <mergeCell ref="A11:B11"/>
    <mergeCell ref="A12:B12"/>
    <mergeCell ref="A13:B1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445DD-C1BC-48DF-9110-ABE3892A452D}">
  <sheetPr codeName="Sheet7">
    <tabColor theme="5"/>
  </sheetPr>
  <dimension ref="B1:T55"/>
  <sheetViews>
    <sheetView topLeftCell="M6" workbookViewId="0">
      <selection activeCell="S23" sqref="S23:S24"/>
    </sheetView>
  </sheetViews>
  <sheetFormatPr defaultRowHeight="14.5" x14ac:dyDescent="0.35"/>
  <cols>
    <col min="2" max="2" width="6.54296875" bestFit="1" customWidth="1"/>
    <col min="3" max="5" width="10.81640625" bestFit="1" customWidth="1"/>
    <col min="6" max="6" width="8.54296875" customWidth="1"/>
    <col min="7" max="7" width="11.453125" customWidth="1"/>
    <col min="8" max="8" width="11.54296875" customWidth="1"/>
    <col min="9" max="9" width="10.453125" customWidth="1"/>
    <col min="10" max="10" width="11.453125" customWidth="1"/>
    <col min="11" max="11" width="13.453125" customWidth="1"/>
    <col min="12" max="12" width="11.453125" customWidth="1"/>
    <col min="13" max="13" width="9.54296875" customWidth="1"/>
    <col min="14" max="14" width="8.453125" customWidth="1"/>
    <col min="17" max="17" width="52.54296875" customWidth="1"/>
    <col min="18" max="18" width="34.453125" customWidth="1"/>
    <col min="19" max="19" width="21.54296875" customWidth="1"/>
    <col min="20" max="20" width="22.54296875" customWidth="1"/>
    <col min="21" max="21" width="9.453125" customWidth="1"/>
    <col min="22" max="22" width="23.453125" customWidth="1"/>
  </cols>
  <sheetData>
    <row r="1" spans="2:20" ht="15" thickBot="1" x14ac:dyDescent="0.4"/>
    <row r="2" spans="2:20" ht="46.5" thickBot="1" x14ac:dyDescent="0.4">
      <c r="B2" s="84" t="s">
        <v>294</v>
      </c>
      <c r="C2" s="85" t="s">
        <v>295</v>
      </c>
      <c r="D2" s="85" t="s">
        <v>296</v>
      </c>
      <c r="E2" s="85" t="s">
        <v>52</v>
      </c>
      <c r="F2" s="85" t="s">
        <v>53</v>
      </c>
      <c r="G2" s="85" t="s">
        <v>55</v>
      </c>
      <c r="H2" s="85" t="s">
        <v>56</v>
      </c>
      <c r="I2" s="85" t="s">
        <v>57</v>
      </c>
      <c r="J2" s="85" t="s">
        <v>59</v>
      </c>
      <c r="K2" s="85" t="s">
        <v>60</v>
      </c>
      <c r="L2" s="85" t="s">
        <v>297</v>
      </c>
      <c r="M2" s="85" t="s">
        <v>298</v>
      </c>
      <c r="N2" s="85" t="s">
        <v>299</v>
      </c>
    </row>
    <row r="3" spans="2:20" ht="15" thickBot="1" x14ac:dyDescent="0.4">
      <c r="B3" s="317">
        <v>2026</v>
      </c>
      <c r="C3" s="314">
        <f>(INDEX(BCA!$F$34:$AJ$34,1,MATCH(Summary!$B3,BCA!$F$9:$AJ$9,0)))/10^6</f>
        <v>0</v>
      </c>
      <c r="D3" s="314">
        <f>(INDEX(BCA!$F$35:$AJ$35,1,MATCH(Summary!$B3,BCA!$F$9:$AJ$9,0)))/10^6</f>
        <v>0</v>
      </c>
      <c r="E3" s="314">
        <f>(INDEX(BCA!$F$36:$AJ$36,1,MATCH(Summary!$B3,BCA!$F$9:$AJ$9,0)))/10^6</f>
        <v>0</v>
      </c>
      <c r="F3" s="314">
        <f>(INDEX(BCA!$F$38:$AJ$38,1,MATCH(Summary!$B3,BCA!$F$9:$AJ$9,0)))/10^6</f>
        <v>0</v>
      </c>
      <c r="G3" s="314">
        <f>(INDEX(BCA!$F$40:$AJ$40,1,MATCH(Summary!$B3,BCA!$F$9:$AJ$9,0)))/10^6</f>
        <v>0</v>
      </c>
      <c r="H3" s="314">
        <f>(INDEX(BCA!$F$41:$AJ$41,1,MATCH(Summary!$B3,BCA!$F$9:$AJ$9,0)))/10^6</f>
        <v>0</v>
      </c>
      <c r="I3" s="314">
        <f>(INDEX(BCA!$F$42:$AJ$42,1,MATCH(Summary!$B3,BCA!$F$9:$AJ$9,0)))/10^6</f>
        <v>0</v>
      </c>
      <c r="J3" s="314">
        <f>(INDEX(BCA!$F$44:$AJ$44,1,MATCH(Summary!$B3,BCA!$F$9:$AJ$9,0)))/10^6</f>
        <v>0</v>
      </c>
      <c r="K3" s="314">
        <f>(INDEX(BCA!$F$45:$AJ$45,1,MATCH(Summary!$B3,BCA!$F$9:$AJ$9,0)))/10^6</f>
        <v>0</v>
      </c>
      <c r="L3" s="314">
        <f t="shared" ref="L3:L30" si="0">SUM(C3:K3)</f>
        <v>0</v>
      </c>
      <c r="M3" s="314">
        <f>(INDEX(BCA!$F$53:$AJ$53,1,MATCH(Summary!$B3,BCA!$F$9:$AJ$9,0)))/10^6</f>
        <v>0</v>
      </c>
      <c r="N3" s="314">
        <f t="shared" ref="N3:N30" si="1">L3-M3</f>
        <v>0</v>
      </c>
      <c r="R3" s="19"/>
      <c r="S3" s="19"/>
    </row>
    <row r="4" spans="2:20" ht="15" thickBot="1" x14ac:dyDescent="0.4">
      <c r="B4" s="317">
        <v>2027</v>
      </c>
      <c r="C4" s="314">
        <f>(INDEX(BCA!$F$34:$AJ$34,1,MATCH(Summary!$B4,BCA!$F$9:$AJ$9,0)))/10^6</f>
        <v>0</v>
      </c>
      <c r="D4" s="314">
        <f>(INDEX(BCA!$F$35:$AJ$35,1,MATCH(Summary!$B4,BCA!$F$9:$AJ$9,0)))/10^6</f>
        <v>0</v>
      </c>
      <c r="E4" s="314">
        <f>(INDEX(BCA!$F$36:$AJ$36,1,MATCH(Summary!$B4,BCA!$F$9:$AJ$9,0)))/10^6</f>
        <v>0</v>
      </c>
      <c r="F4" s="314">
        <f>(INDEX(BCA!$F$38:$AJ$38,1,MATCH(Summary!$B4,BCA!$F$9:$AJ$9,0)))/10^6</f>
        <v>0</v>
      </c>
      <c r="G4" s="314">
        <f>(INDEX(BCA!$F$40:$AJ$40,1,MATCH(Summary!$B4,BCA!$F$9:$AJ$9,0)))/10^6</f>
        <v>0</v>
      </c>
      <c r="H4" s="314">
        <f>(INDEX(BCA!$F$41:$AJ$41,1,MATCH(Summary!$B4,BCA!$F$9:$AJ$9,0)))/10^6</f>
        <v>0</v>
      </c>
      <c r="I4" s="314">
        <f>(INDEX(BCA!$F$42:$AJ$42,1,MATCH(Summary!$B4,BCA!$F$9:$AJ$9,0)))/10^6</f>
        <v>0</v>
      </c>
      <c r="J4" s="314">
        <f>(INDEX(BCA!$F$44:$AJ$44,1,MATCH(Summary!$B4,BCA!$F$9:$AJ$9,0)))/10^6</f>
        <v>0</v>
      </c>
      <c r="K4" s="314">
        <f>(INDEX(BCA!$F$45:$AJ$45,1,MATCH(Summary!$B4,BCA!$F$9:$AJ$9,0)))/10^6</f>
        <v>0</v>
      </c>
      <c r="L4" s="314">
        <f t="shared" si="0"/>
        <v>0</v>
      </c>
      <c r="M4" s="314">
        <f>(INDEX(BCA!$F$53:$AJ$53,1,MATCH(Summary!$B4,BCA!$F$9:$AJ$9,0)))/10^6</f>
        <v>0</v>
      </c>
      <c r="N4" s="314">
        <f t="shared" si="1"/>
        <v>0</v>
      </c>
    </row>
    <row r="5" spans="2:20" ht="15" thickBot="1" x14ac:dyDescent="0.4">
      <c r="B5" s="317">
        <v>2028</v>
      </c>
      <c r="C5" s="314">
        <f>(INDEX(BCA!$F$34:$AJ$34,1,MATCH(Summary!$B5,BCA!$F$9:$AJ$9,0)))/10^6</f>
        <v>0</v>
      </c>
      <c r="D5" s="314">
        <f>(INDEX(BCA!$F$35:$AJ$35,1,MATCH(Summary!$B5,BCA!$F$9:$AJ$9,0)))/10^6</f>
        <v>0</v>
      </c>
      <c r="E5" s="314">
        <f>(INDEX(BCA!$F$36:$AJ$36,1,MATCH(Summary!$B5,BCA!$F$9:$AJ$9,0)))/10^6</f>
        <v>0</v>
      </c>
      <c r="F5" s="314">
        <f>(INDEX(BCA!$F$38:$AJ$38,1,MATCH(Summary!$B5,BCA!$F$9:$AJ$9,0)))/10^6</f>
        <v>0</v>
      </c>
      <c r="G5" s="314">
        <f>(INDEX(BCA!$F$40:$AJ$40,1,MATCH(Summary!$B5,BCA!$F$9:$AJ$9,0)))/10^6</f>
        <v>0</v>
      </c>
      <c r="H5" s="314">
        <f>(INDEX(BCA!$F$41:$AJ$41,1,MATCH(Summary!$B5,BCA!$F$9:$AJ$9,0)))/10^6</f>
        <v>0</v>
      </c>
      <c r="I5" s="314">
        <f>(INDEX(BCA!$F$42:$AJ$42,1,MATCH(Summary!$B5,BCA!$F$9:$AJ$9,0)))/10^6</f>
        <v>0</v>
      </c>
      <c r="J5" s="314">
        <f>(INDEX(BCA!$F$44:$AJ$44,1,MATCH(Summary!$B5,BCA!$F$9:$AJ$9,0)))/10^6</f>
        <v>0</v>
      </c>
      <c r="K5" s="314">
        <f>(INDEX(BCA!$F$45:$AJ$45,1,MATCH(Summary!$B5,BCA!$F$9:$AJ$9,0)))/10^6</f>
        <v>0</v>
      </c>
      <c r="L5" s="314">
        <f t="shared" si="0"/>
        <v>0</v>
      </c>
      <c r="M5" s="314">
        <f>(INDEX(BCA!$F$53:$AJ$53,1,MATCH(Summary!$B5,BCA!$F$9:$AJ$9,0)))/10^6</f>
        <v>7.8563945392890862</v>
      </c>
      <c r="N5" s="314">
        <f t="shared" si="1"/>
        <v>-7.8563945392890862</v>
      </c>
      <c r="Q5" s="86" t="s">
        <v>300</v>
      </c>
      <c r="R5" s="86" t="s">
        <v>301</v>
      </c>
      <c r="S5" s="86" t="s">
        <v>302</v>
      </c>
    </row>
    <row r="6" spans="2:20" ht="15" thickBot="1" x14ac:dyDescent="0.4">
      <c r="B6" s="317">
        <v>2029</v>
      </c>
      <c r="C6" s="314">
        <f>(INDEX(BCA!$F$34:$AJ$34,1,MATCH(Summary!$B6,BCA!$F$9:$AJ$9,0)))/10^6</f>
        <v>0</v>
      </c>
      <c r="D6" s="314">
        <f>(INDEX(BCA!$F$35:$AJ$35,1,MATCH(Summary!$B6,BCA!$F$9:$AJ$9,0)))/10^6</f>
        <v>0</v>
      </c>
      <c r="E6" s="314">
        <f>(INDEX(BCA!$F$36:$AJ$36,1,MATCH(Summary!$B6,BCA!$F$9:$AJ$9,0)))/10^6</f>
        <v>0</v>
      </c>
      <c r="F6" s="314">
        <f>(INDEX(BCA!$F$38:$AJ$38,1,MATCH(Summary!$B6,BCA!$F$9:$AJ$9,0)))/10^6</f>
        <v>0</v>
      </c>
      <c r="G6" s="314">
        <f>(INDEX(BCA!$F$40:$AJ$40,1,MATCH(Summary!$B6,BCA!$F$9:$AJ$9,0)))/10^6</f>
        <v>0</v>
      </c>
      <c r="H6" s="314">
        <f>(INDEX(BCA!$F$41:$AJ$41,1,MATCH(Summary!$B6,BCA!$F$9:$AJ$9,0)))/10^6</f>
        <v>0</v>
      </c>
      <c r="I6" s="314">
        <f>(INDEX(BCA!$F$42:$AJ$42,1,MATCH(Summary!$B6,BCA!$F$9:$AJ$9,0)))/10^6</f>
        <v>0</v>
      </c>
      <c r="J6" s="314">
        <f>(INDEX(BCA!$F$44:$AJ$44,1,MATCH(Summary!$B6,BCA!$F$9:$AJ$9,0)))/10^6</f>
        <v>0</v>
      </c>
      <c r="K6" s="314">
        <f>(INDEX(BCA!$F$45:$AJ$45,1,MATCH(Summary!$B6,BCA!$F$9:$AJ$9,0)))/10^6</f>
        <v>0</v>
      </c>
      <c r="L6" s="314">
        <f t="shared" si="0"/>
        <v>0</v>
      </c>
      <c r="M6" s="314">
        <f>(INDEX(BCA!$F$53:$AJ$53,1,MATCH(Summary!$B6,BCA!$F$9:$AJ$9,0)))/10^6</f>
        <v>7.3424248030739117</v>
      </c>
      <c r="N6" s="314">
        <f t="shared" si="1"/>
        <v>-7.3424248030739117</v>
      </c>
      <c r="Q6" s="87" t="s">
        <v>303</v>
      </c>
      <c r="R6" s="719">
        <f>BCA!D29/10^6</f>
        <v>435.32956399779505</v>
      </c>
      <c r="S6" s="719">
        <f>BCA!D46/10^6</f>
        <v>113.11558995371524</v>
      </c>
    </row>
    <row r="7" spans="2:20" ht="15" thickBot="1" x14ac:dyDescent="0.4">
      <c r="B7" s="317">
        <v>2030</v>
      </c>
      <c r="C7" s="314">
        <f>(INDEX(BCA!$F$34:$AJ$34,1,MATCH(Summary!$B7,BCA!$F$9:$AJ$9,0)))/10^6</f>
        <v>0</v>
      </c>
      <c r="D7" s="314">
        <f>(INDEX(BCA!$F$35:$AJ$35,1,MATCH(Summary!$B7,BCA!$F$9:$AJ$9,0)))/10^6</f>
        <v>0</v>
      </c>
      <c r="E7" s="314">
        <f>(INDEX(BCA!$F$36:$AJ$36,1,MATCH(Summary!$B7,BCA!$F$9:$AJ$9,0)))/10^6</f>
        <v>0</v>
      </c>
      <c r="F7" s="314">
        <f>(INDEX(BCA!$F$38:$AJ$38,1,MATCH(Summary!$B7,BCA!$F$9:$AJ$9,0)))/10^6</f>
        <v>0</v>
      </c>
      <c r="G7" s="314">
        <f>(INDEX(BCA!$F$40:$AJ$40,1,MATCH(Summary!$B7,BCA!$F$9:$AJ$9,0)))/10^6</f>
        <v>0</v>
      </c>
      <c r="H7" s="314">
        <f>(INDEX(BCA!$F$41:$AJ$41,1,MATCH(Summary!$B7,BCA!$F$9:$AJ$9,0)))/10^6</f>
        <v>0</v>
      </c>
      <c r="I7" s="314">
        <f>(INDEX(BCA!$F$42:$AJ$42,1,MATCH(Summary!$B7,BCA!$F$9:$AJ$9,0)))/10^6</f>
        <v>0</v>
      </c>
      <c r="J7" s="314">
        <f>(INDEX(BCA!$F$44:$AJ$44,1,MATCH(Summary!$B7,BCA!$F$9:$AJ$9,0)))/10^6</f>
        <v>0</v>
      </c>
      <c r="K7" s="314">
        <f>(INDEX(BCA!$F$45:$AJ$45,1,MATCH(Summary!$B7,BCA!$F$9:$AJ$9,0)))/10^6</f>
        <v>0</v>
      </c>
      <c r="L7" s="314">
        <f t="shared" si="0"/>
        <v>0</v>
      </c>
      <c r="M7" s="314">
        <f>(INDEX(BCA!$F$53:$AJ$53,1,MATCH(Summary!$B7,BCA!$F$9:$AJ$9,0)))/10^6</f>
        <v>6.4288150809477056</v>
      </c>
      <c r="N7" s="314">
        <f t="shared" si="1"/>
        <v>-6.4288150809477056</v>
      </c>
      <c r="Q7" s="87" t="s">
        <v>304</v>
      </c>
      <c r="R7" s="720">
        <f>BCA!D52/10^6</f>
        <v>46.443764048794002</v>
      </c>
      <c r="S7" s="720">
        <f>BCA!D53/10^6</f>
        <v>31.385931031986253</v>
      </c>
    </row>
    <row r="8" spans="2:20" ht="15" thickBot="1" x14ac:dyDescent="0.4">
      <c r="B8" s="317">
        <v>2031</v>
      </c>
      <c r="C8" s="314">
        <f>(INDEX(BCA!$F$34:$AJ$34,1,MATCH(Summary!$B8,BCA!$F$9:$AJ$9,0)))/10^6</f>
        <v>0</v>
      </c>
      <c r="D8" s="314">
        <f>(INDEX(BCA!$F$35:$AJ$35,1,MATCH(Summary!$B8,BCA!$F$9:$AJ$9,0)))/10^6</f>
        <v>0</v>
      </c>
      <c r="E8" s="314">
        <f>(INDEX(BCA!$F$36:$AJ$36,1,MATCH(Summary!$B8,BCA!$F$9:$AJ$9,0)))/10^6</f>
        <v>0</v>
      </c>
      <c r="F8" s="314">
        <f>(INDEX(BCA!$F$38:$AJ$38,1,MATCH(Summary!$B8,BCA!$F$9:$AJ$9,0)))/10^6</f>
        <v>0</v>
      </c>
      <c r="G8" s="314">
        <f>(INDEX(BCA!$F$40:$AJ$40,1,MATCH(Summary!$B8,BCA!$F$9:$AJ$9,0)))/10^6</f>
        <v>0</v>
      </c>
      <c r="H8" s="314">
        <f>(INDEX(BCA!$F$41:$AJ$41,1,MATCH(Summary!$B8,BCA!$F$9:$AJ$9,0)))/10^6</f>
        <v>0</v>
      </c>
      <c r="I8" s="314">
        <f>(INDEX(BCA!$F$42:$AJ$42,1,MATCH(Summary!$B8,BCA!$F$9:$AJ$9,0)))/10^6</f>
        <v>0</v>
      </c>
      <c r="J8" s="314">
        <f>(INDEX(BCA!$F$44:$AJ$44,1,MATCH(Summary!$B8,BCA!$F$9:$AJ$9,0)))/10^6</f>
        <v>0</v>
      </c>
      <c r="K8" s="314">
        <f>(INDEX(BCA!$F$45:$AJ$45,1,MATCH(Summary!$B8,BCA!$F$9:$AJ$9,0)))/10^6</f>
        <v>0</v>
      </c>
      <c r="L8" s="314">
        <f t="shared" si="0"/>
        <v>0</v>
      </c>
      <c r="M8" s="314">
        <f>(INDEX(BCA!$F$53:$AJ$53,1,MATCH(Summary!$B8,BCA!$F$9:$AJ$9,0)))/10^6</f>
        <v>5.0441436576245584</v>
      </c>
      <c r="N8" s="314">
        <f t="shared" si="1"/>
        <v>-5.0441436576245584</v>
      </c>
      <c r="Q8" s="87" t="s">
        <v>305</v>
      </c>
      <c r="R8" s="824">
        <f>BCA!D58/10^6</f>
        <v>81.729658921728984</v>
      </c>
      <c r="S8" s="825"/>
    </row>
    <row r="9" spans="2:20" ht="15.75" customHeight="1" thickBot="1" x14ac:dyDescent="0.4">
      <c r="B9" s="317">
        <v>2032</v>
      </c>
      <c r="C9" s="314">
        <f>(INDEX(BCA!$F$34:$AJ$34,1,MATCH(Summary!$B9,BCA!$F$9:$AJ$9,0)))/10^6</f>
        <v>0</v>
      </c>
      <c r="D9" s="314">
        <f>(INDEX(BCA!$F$35:$AJ$35,1,MATCH(Summary!$B9,BCA!$F$9:$AJ$9,0)))/10^6</f>
        <v>0</v>
      </c>
      <c r="E9" s="314">
        <f>(INDEX(BCA!$F$36:$AJ$36,1,MATCH(Summary!$B9,BCA!$F$9:$AJ$9,0)))/10^6</f>
        <v>0</v>
      </c>
      <c r="F9" s="314">
        <f>(INDEX(BCA!$F$38:$AJ$38,1,MATCH(Summary!$B9,BCA!$F$9:$AJ$9,0)))/10^6</f>
        <v>0</v>
      </c>
      <c r="G9" s="314">
        <f>(INDEX(BCA!$F$40:$AJ$40,1,MATCH(Summary!$B9,BCA!$F$9:$AJ$9,0)))/10^6</f>
        <v>0</v>
      </c>
      <c r="H9" s="314">
        <f>(INDEX(BCA!$F$41:$AJ$41,1,MATCH(Summary!$B9,BCA!$F$9:$AJ$9,0)))/10^6</f>
        <v>0</v>
      </c>
      <c r="I9" s="314">
        <f>(INDEX(BCA!$F$42:$AJ$42,1,MATCH(Summary!$B9,BCA!$F$9:$AJ$9,0)))/10^6</f>
        <v>0</v>
      </c>
      <c r="J9" s="314">
        <f>(INDEX(BCA!$F$44:$AJ$44,1,MATCH(Summary!$B9,BCA!$F$9:$AJ$9,0)))/10^6</f>
        <v>0</v>
      </c>
      <c r="K9" s="314">
        <f>(INDEX(BCA!$F$45:$AJ$45,1,MATCH(Summary!$B9,BCA!$F$9:$AJ$9,0)))/10^6</f>
        <v>0</v>
      </c>
      <c r="L9" s="314">
        <f t="shared" si="0"/>
        <v>0</v>
      </c>
      <c r="M9" s="314">
        <f>(INDEX(BCA!$F$53:$AJ$53,1,MATCH(Summary!$B9,BCA!$F$9:$AJ$9,0)))/10^6</f>
        <v>4.7141529510509894</v>
      </c>
      <c r="N9" s="314">
        <f t="shared" si="1"/>
        <v>-4.7141529510509894</v>
      </c>
      <c r="Q9" s="87" t="s">
        <v>306</v>
      </c>
      <c r="R9" s="826">
        <f>BCA!D57</f>
        <v>3.6040221282088489</v>
      </c>
      <c r="S9" s="827"/>
    </row>
    <row r="10" spans="2:20" ht="15" thickBot="1" x14ac:dyDescent="0.4">
      <c r="B10" s="317">
        <v>2033</v>
      </c>
      <c r="C10" s="314">
        <f>(INDEX(BCA!$F$34:$AJ$34,1,MATCH(Summary!$B10,BCA!$F$9:$AJ$9,0)))/10^6</f>
        <v>0.44847645495193661</v>
      </c>
      <c r="D10" s="314">
        <f>(INDEX(BCA!$F$35:$AJ$35,1,MATCH(Summary!$B10,BCA!$F$9:$AJ$9,0)))/10^6</f>
        <v>0.6783833221864024</v>
      </c>
      <c r="E10" s="314">
        <f>(INDEX(BCA!$F$36:$AJ$36,1,MATCH(Summary!$B10,BCA!$F$9:$AJ$9,0)))/10^6</f>
        <v>9.1105821776123683E-2</v>
      </c>
      <c r="F10" s="314">
        <f>(INDEX(BCA!$F$38:$AJ$38,1,MATCH(Summary!$B10,BCA!$F$9:$AJ$9,0)))/10^6</f>
        <v>0.1752734597872771</v>
      </c>
      <c r="G10" s="314">
        <f>(INDEX(BCA!$F$40:$AJ$40,1,MATCH(Summary!$B10,BCA!$F$9:$AJ$9,0)))/10^6</f>
        <v>2.1976727778363674E-2</v>
      </c>
      <c r="H10" s="314">
        <f>(INDEX(BCA!$F$41:$AJ$41,1,MATCH(Summary!$B10,BCA!$F$9:$AJ$9,0)))/10^6</f>
        <v>2.5196661044342785E-2</v>
      </c>
      <c r="I10" s="314">
        <f>(INDEX(BCA!$F$42:$AJ$42,1,MATCH(Summary!$B10,BCA!$F$9:$AJ$9,0)))/10^6</f>
        <v>8.2353297413351959E-3</v>
      </c>
      <c r="J10" s="314">
        <f>(INDEX(BCA!$F$44:$AJ$44,1,MATCH(Summary!$B10,BCA!$F$9:$AJ$9,0)))/10^6</f>
        <v>0</v>
      </c>
      <c r="K10" s="314">
        <f>(INDEX(BCA!$F$45:$AJ$45,1,MATCH(Summary!$B10,BCA!$F$9:$AJ$9,0)))/10^6</f>
        <v>0</v>
      </c>
      <c r="L10" s="314">
        <f t="shared" si="0"/>
        <v>1.4486477772657813</v>
      </c>
      <c r="M10" s="314">
        <f>(INDEX(BCA!$F$53:$AJ$53,1,MATCH(Summary!$B10,BCA!$F$9:$AJ$9,0)))/10^6</f>
        <v>0</v>
      </c>
      <c r="N10" s="314">
        <f t="shared" si="1"/>
        <v>1.4486477772657813</v>
      </c>
      <c r="Q10" s="87" t="s">
        <v>307</v>
      </c>
      <c r="R10" s="830">
        <f>BCA!D62</f>
        <v>0.1884578394310743</v>
      </c>
      <c r="S10" s="831"/>
    </row>
    <row r="11" spans="2:20" ht="15" thickBot="1" x14ac:dyDescent="0.4">
      <c r="B11" s="317">
        <v>2034</v>
      </c>
      <c r="C11" s="314">
        <f>(INDEX(BCA!$F$34:$AJ$34,1,MATCH(Summary!$B11,BCA!$F$9:$AJ$9,0)))/10^6</f>
        <v>0.83827374757371764</v>
      </c>
      <c r="D11" s="314">
        <f>(INDEX(BCA!$F$35:$AJ$35,1,MATCH(Summary!$B11,BCA!$F$9:$AJ$9,0)))/10^6</f>
        <v>1.26800620969421</v>
      </c>
      <c r="E11" s="314">
        <f>(INDEX(BCA!$F$36:$AJ$36,1,MATCH(Summary!$B11,BCA!$F$9:$AJ$9,0)))/10^6</f>
        <v>0.17029125565630593</v>
      </c>
      <c r="F11" s="314">
        <f>(INDEX(BCA!$F$38:$AJ$38,1,MATCH(Summary!$B11,BCA!$F$9:$AJ$9,0)))/10^6</f>
        <v>0.32761394352762074</v>
      </c>
      <c r="G11" s="314">
        <f>(INDEX(BCA!$F$40:$AJ$40,1,MATCH(Summary!$B11,BCA!$F$9:$AJ$9,0)))/10^6</f>
        <v>3.8235999433619508E-2</v>
      </c>
      <c r="H11" s="314">
        <f>(INDEX(BCA!$F$41:$AJ$41,1,MATCH(Summary!$B11,BCA!$F$9:$AJ$9,0)))/10^6</f>
        <v>4.7096562699706142E-2</v>
      </c>
      <c r="I11" s="314">
        <f>(INDEX(BCA!$F$42:$AJ$42,1,MATCH(Summary!$B11,BCA!$F$9:$AJ$9,0)))/10^6</f>
        <v>1.5393139703430272E-2</v>
      </c>
      <c r="J11" s="314">
        <f>(INDEX(BCA!$F$44:$AJ$44,1,MATCH(Summary!$B11,BCA!$F$9:$AJ$9,0)))/10^6</f>
        <v>-1.1434807624815874E-2</v>
      </c>
      <c r="K11" s="314">
        <f>(INDEX(BCA!$F$45:$AJ$45,1,MATCH(Summary!$B11,BCA!$F$9:$AJ$9,0)))/10^6</f>
        <v>0</v>
      </c>
      <c r="L11" s="314">
        <f t="shared" si="0"/>
        <v>2.6934760506637949</v>
      </c>
      <c r="M11" s="314">
        <f>(INDEX(BCA!$F$53:$AJ$53,1,MATCH(Summary!$B11,BCA!$F$9:$AJ$9,0)))/10^6</f>
        <v>0</v>
      </c>
      <c r="N11" s="314">
        <f t="shared" si="1"/>
        <v>2.6934760506637949</v>
      </c>
      <c r="Q11" s="87" t="s">
        <v>308</v>
      </c>
      <c r="R11" s="828">
        <f>BCA!D65</f>
        <v>5</v>
      </c>
      <c r="S11" s="829"/>
    </row>
    <row r="12" spans="2:20" ht="15" thickBot="1" x14ac:dyDescent="0.4">
      <c r="B12" s="317">
        <v>2035</v>
      </c>
      <c r="C12" s="314">
        <f>(INDEX(BCA!$F$34:$AJ$34,1,MATCH(Summary!$B12,BCA!$F$9:$AJ$9,0)))/10^6</f>
        <v>1.1751501134210973</v>
      </c>
      <c r="D12" s="314">
        <f>(INDEX(BCA!$F$35:$AJ$35,1,MATCH(Summary!$B12,BCA!$F$9:$AJ$9,0)))/10^6</f>
        <v>1.7775787986367433</v>
      </c>
      <c r="E12" s="314">
        <f>(INDEX(BCA!$F$36:$AJ$36,1,MATCH(Summary!$B12,BCA!$F$9:$AJ$9,0)))/10^6</f>
        <v>0.23872605933127</v>
      </c>
      <c r="F12" s="314">
        <f>(INDEX(BCA!$F$38:$AJ$38,1,MATCH(Summary!$B12,BCA!$F$9:$AJ$9,0)))/10^6</f>
        <v>0.45927188344993553</v>
      </c>
      <c r="G12" s="314">
        <f>(INDEX(BCA!$F$40:$AJ$40,1,MATCH(Summary!$B12,BCA!$F$9:$AJ$9,0)))/10^6</f>
        <v>4.9617761242752689E-2</v>
      </c>
      <c r="H12" s="314">
        <f>(INDEX(BCA!$F$41:$AJ$41,1,MATCH(Summary!$B12,BCA!$F$9:$AJ$9,0)))/10^6</f>
        <v>6.6023218737905801E-2</v>
      </c>
      <c r="I12" s="314">
        <f>(INDEX(BCA!$F$42:$AJ$42,1,MATCH(Summary!$B12,BCA!$F$9:$AJ$9,0)))/10^6</f>
        <v>2.1579167808547108E-2</v>
      </c>
      <c r="J12" s="314">
        <f>(INDEX(BCA!$F$44:$AJ$44,1,MATCH(Summary!$B12,BCA!$F$9:$AJ$9,0)))/10^6</f>
        <v>-1.068673609795876E-2</v>
      </c>
      <c r="K12" s="314">
        <f>(INDEX(BCA!$F$45:$AJ$45,1,MATCH(Summary!$B12,BCA!$F$9:$AJ$9,0)))/10^6</f>
        <v>0</v>
      </c>
      <c r="L12" s="314">
        <f t="shared" si="0"/>
        <v>3.777260266530293</v>
      </c>
      <c r="M12" s="314">
        <f>(INDEX(BCA!$F$53:$AJ$53,1,MATCH(Summary!$B12,BCA!$F$9:$AJ$9,0)))/10^6</f>
        <v>0</v>
      </c>
      <c r="N12" s="314">
        <f t="shared" si="1"/>
        <v>3.777260266530293</v>
      </c>
    </row>
    <row r="13" spans="2:20" ht="15" thickBot="1" x14ac:dyDescent="0.4">
      <c r="B13" s="317">
        <v>2036</v>
      </c>
      <c r="C13" s="314">
        <f>(INDEX(BCA!$F$34:$AJ$34,1,MATCH(Summary!$B13,BCA!$F$9:$AJ$9,0)))/10^6</f>
        <v>1.4643615120512108</v>
      </c>
      <c r="D13" s="314">
        <f>(INDEX(BCA!$F$35:$AJ$35,1,MATCH(Summary!$B13,BCA!$F$9:$AJ$9,0)))/10^6</f>
        <v>2.2150514624756927</v>
      </c>
      <c r="E13" s="314">
        <f>(INDEX(BCA!$F$36:$AJ$36,1,MATCH(Summary!$B13,BCA!$F$9:$AJ$9,0)))/10^6</f>
        <v>0.29747795555298445</v>
      </c>
      <c r="F13" s="314">
        <f>(INDEX(BCA!$F$38:$AJ$38,1,MATCH(Summary!$B13,BCA!$F$9:$AJ$9,0)))/10^6</f>
        <v>0.57230141239867371</v>
      </c>
      <c r="G13" s="314">
        <f>(INDEX(BCA!$F$40:$AJ$40,1,MATCH(Summary!$B13,BCA!$F$9:$AJ$9,0)))/10^6</f>
        <v>5.6864366505443312E-2</v>
      </c>
      <c r="H13" s="314">
        <f>(INDEX(BCA!$F$41:$AJ$41,1,MATCH(Summary!$B13,BCA!$F$9:$AJ$9,0)))/10^6</f>
        <v>8.2271923660941812E-2</v>
      </c>
      <c r="I13" s="314">
        <f>(INDEX(BCA!$F$42:$AJ$42,1,MATCH(Summary!$B13,BCA!$F$9:$AJ$9,0)))/10^6</f>
        <v>2.6889928733392039E-2</v>
      </c>
      <c r="J13" s="314">
        <f>(INDEX(BCA!$F$44:$AJ$44,1,MATCH(Summary!$B13,BCA!$F$9:$AJ$9,0)))/10^6</f>
        <v>-2.4143708662904006E-2</v>
      </c>
      <c r="K13" s="314">
        <f>(INDEX(BCA!$F$45:$AJ$45,1,MATCH(Summary!$B13,BCA!$F$9:$AJ$9,0)))/10^6</f>
        <v>0</v>
      </c>
      <c r="L13" s="314">
        <f t="shared" si="0"/>
        <v>4.6910748527154347</v>
      </c>
      <c r="M13" s="314">
        <f>(INDEX(BCA!$F$53:$AJ$53,1,MATCH(Summary!$B13,BCA!$F$9:$AJ$9,0)))/10^6</f>
        <v>0</v>
      </c>
      <c r="N13" s="314">
        <f t="shared" si="1"/>
        <v>4.6910748527154347</v>
      </c>
    </row>
    <row r="14" spans="2:20" ht="29.5" thickBot="1" x14ac:dyDescent="0.4">
      <c r="B14" s="317">
        <v>2037</v>
      </c>
      <c r="C14" s="314">
        <f>(INDEX(BCA!$F$34:$AJ$34,1,MATCH(Summary!$B14,BCA!$F$9:$AJ$9,0)))/10^6</f>
        <v>1.7107027009944074</v>
      </c>
      <c r="D14" s="314">
        <f>(INDEX(BCA!$F$35:$AJ$35,1,MATCH(Summary!$B14,BCA!$F$9:$AJ$9,0)))/10^6</f>
        <v>2.5876769421445007</v>
      </c>
      <c r="E14" s="314">
        <f>(INDEX(BCA!$F$36:$AJ$36,1,MATCH(Summary!$B14,BCA!$F$9:$AJ$9,0)))/10^6</f>
        <v>0.34752097611329957</v>
      </c>
      <c r="F14" s="314">
        <f>(INDEX(BCA!$F$38:$AJ$38,1,MATCH(Summary!$B14,BCA!$F$9:$AJ$9,0)))/10^6</f>
        <v>0.66857641635359055</v>
      </c>
      <c r="G14" s="314">
        <f>(INDEX(BCA!$F$40:$AJ$40,1,MATCH(Summary!$B14,BCA!$F$9:$AJ$9,0)))/10^6</f>
        <v>6.0630545605851779E-2</v>
      </c>
      <c r="H14" s="314">
        <f>(INDEX(BCA!$F$41:$AJ$41,1,MATCH(Summary!$B14,BCA!$F$9:$AJ$9,0)))/10^6</f>
        <v>9.6112060351567552E-2</v>
      </c>
      <c r="I14" s="314">
        <f>(INDEX(BCA!$F$42:$AJ$42,1,MATCH(Summary!$B14,BCA!$F$9:$AJ$9,0)))/10^6</f>
        <v>3.1413468146486025E-2</v>
      </c>
      <c r="J14" s="314">
        <f>(INDEX(BCA!$F$44:$AJ$44,1,MATCH(Summary!$B14,BCA!$F$9:$AJ$9,0)))/10^6</f>
        <v>-9.334209186792522E-3</v>
      </c>
      <c r="K14" s="314">
        <f>(INDEX(BCA!$F$45:$AJ$45,1,MATCH(Summary!$B14,BCA!$F$9:$AJ$9,0)))/10^6</f>
        <v>0</v>
      </c>
      <c r="L14" s="314">
        <f t="shared" si="0"/>
        <v>5.4932989005229116</v>
      </c>
      <c r="M14" s="314">
        <f>(INDEX(BCA!$F$53:$AJ$53,1,MATCH(Summary!$B14,BCA!$F$9:$AJ$9,0)))/10^6</f>
        <v>0</v>
      </c>
      <c r="N14" s="314">
        <f t="shared" si="1"/>
        <v>5.4932989005229116</v>
      </c>
      <c r="Q14" s="648" t="s">
        <v>309</v>
      </c>
      <c r="R14" s="649" t="s">
        <v>310</v>
      </c>
      <c r="S14" s="650" t="s">
        <v>311</v>
      </c>
      <c r="T14" s="651" t="s">
        <v>312</v>
      </c>
    </row>
    <row r="15" spans="2:20" ht="15" thickBot="1" x14ac:dyDescent="0.4">
      <c r="B15" s="317">
        <v>2038</v>
      </c>
      <c r="C15" s="314">
        <f>(INDEX(BCA!$F$34:$AJ$34,1,MATCH(Summary!$B15,BCA!$F$9:$AJ$9,0)))/10^6</f>
        <v>2.4837821669025075</v>
      </c>
      <c r="D15" s="314">
        <f>(INDEX(BCA!$F$35:$AJ$35,1,MATCH(Summary!$B15,BCA!$F$9:$AJ$9,0)))/10^6</f>
        <v>3.7570676885394865</v>
      </c>
      <c r="E15" s="314">
        <f>(INDEX(BCA!$F$36:$AJ$36,1,MATCH(Summary!$B15,BCA!$F$9:$AJ$9,0)))/10^6</f>
        <v>0.50456832890543635</v>
      </c>
      <c r="F15" s="314">
        <f>(INDEX(BCA!$F$38:$AJ$38,1,MATCH(Summary!$B15,BCA!$F$9:$AJ$9,0)))/10^6</f>
        <v>0.97071114646943035</v>
      </c>
      <c r="G15" s="314">
        <f>(INDEX(BCA!$F$40:$AJ$40,1,MATCH(Summary!$B15,BCA!$F$9:$AJ$9,0)))/10^6</f>
        <v>7.9609189332471034E-2</v>
      </c>
      <c r="H15" s="314">
        <f>(INDEX(BCA!$F$41:$AJ$41,1,MATCH(Summary!$B15,BCA!$F$9:$AJ$9,0)))/10^6</f>
        <v>0.13954582604371601</v>
      </c>
      <c r="I15" s="314">
        <f>(INDEX(BCA!$F$42:$AJ$42,1,MATCH(Summary!$B15,BCA!$F$9:$AJ$9,0)))/10^6</f>
        <v>4.5609451564814552E-2</v>
      </c>
      <c r="J15" s="314">
        <f>(INDEX(BCA!$F$44:$AJ$44,1,MATCH(Summary!$B15,BCA!$F$9:$AJ$9,0)))/10^6</f>
        <v>-8.7235599876565647E-3</v>
      </c>
      <c r="K15" s="314">
        <f>(INDEX(BCA!$F$45:$AJ$45,1,MATCH(Summary!$B15,BCA!$F$9:$AJ$9,0)))/10^6</f>
        <v>0</v>
      </c>
      <c r="L15" s="314">
        <f t="shared" si="0"/>
        <v>7.9721702377702046</v>
      </c>
      <c r="M15" s="314">
        <f>(INDEX(BCA!$F$53:$AJ$53,1,MATCH(Summary!$B15,BCA!$F$9:$AJ$9,0)))/10^6</f>
        <v>0</v>
      </c>
      <c r="N15" s="314">
        <f t="shared" si="1"/>
        <v>7.9721702377702046</v>
      </c>
      <c r="Q15" s="652" t="s">
        <v>313</v>
      </c>
      <c r="R15" s="88"/>
      <c r="S15" s="297"/>
      <c r="T15" s="653"/>
    </row>
    <row r="16" spans="2:20" ht="15" thickBot="1" x14ac:dyDescent="0.4">
      <c r="B16" s="317">
        <v>2039</v>
      </c>
      <c r="C16" s="314">
        <f>(INDEX(BCA!$F$34:$AJ$34,1,MATCH(Summary!$B16,BCA!$F$9:$AJ$9,0)))/10^6</f>
        <v>2.395497031436761</v>
      </c>
      <c r="D16" s="314">
        <f>(INDEX(BCA!$F$35:$AJ$35,1,MATCH(Summary!$B16,BCA!$F$9:$AJ$9,0)))/10^6</f>
        <v>3.6235240814322949</v>
      </c>
      <c r="E16" s="314">
        <f>(INDEX(BCA!$F$36:$AJ$36,1,MATCH(Summary!$B16,BCA!$F$9:$AJ$9,0)))/10^6</f>
        <v>0.48663363082170996</v>
      </c>
      <c r="F16" s="314">
        <f>(INDEX(BCA!$F$38:$AJ$38,1,MATCH(Summary!$B16,BCA!$F$9:$AJ$9,0)))/10^6</f>
        <v>0.93620757115346931</v>
      </c>
      <c r="G16" s="314">
        <f>(INDEX(BCA!$F$40:$AJ$40,1,MATCH(Summary!$B16,BCA!$F$9:$AJ$9,0)))/10^6</f>
        <v>6.8658064791969092E-2</v>
      </c>
      <c r="H16" s="314">
        <f>(INDEX(BCA!$F$41:$AJ$41,1,MATCH(Summary!$B16,BCA!$F$9:$AJ$9,0)))/10^6</f>
        <v>0.13458572031459223</v>
      </c>
      <c r="I16" s="314">
        <f>(INDEX(BCA!$F$42:$AJ$42,1,MATCH(Summary!$B16,BCA!$F$9:$AJ$9,0)))/10^6</f>
        <v>4.3988280165979894E-2</v>
      </c>
      <c r="J16" s="314">
        <f>(INDEX(BCA!$F$44:$AJ$44,1,MATCH(Summary!$B16,BCA!$F$9:$AJ$9,0)))/10^6</f>
        <v>-3.5115922548801963E-2</v>
      </c>
      <c r="K16" s="314">
        <f>(INDEX(BCA!$F$45:$AJ$45,1,MATCH(Summary!$B16,BCA!$F$9:$AJ$9,0)))/10^6</f>
        <v>0</v>
      </c>
      <c r="L16" s="314">
        <f t="shared" si="0"/>
        <v>7.6539784575679741</v>
      </c>
      <c r="M16" s="314">
        <f>(INDEX(BCA!$F$53:$AJ$53,1,MATCH(Summary!$B16,BCA!$F$9:$AJ$9,0)))/10^6</f>
        <v>0</v>
      </c>
      <c r="N16" s="314">
        <f t="shared" si="1"/>
        <v>7.6539784575679741</v>
      </c>
      <c r="Q16" s="814" t="s">
        <v>48</v>
      </c>
      <c r="R16" s="644" t="s">
        <v>314</v>
      </c>
      <c r="S16" s="726">
        <f>BCA!D17/10^6</f>
        <v>133.2171585522002</v>
      </c>
      <c r="T16" s="727">
        <f>BCA!D34/10^6</f>
        <v>34.910554398625948</v>
      </c>
    </row>
    <row r="17" spans="2:20" ht="15" thickBot="1" x14ac:dyDescent="0.4">
      <c r="B17" s="317">
        <v>2040</v>
      </c>
      <c r="C17" s="314">
        <f>(INDEX(BCA!$F$34:$AJ$34,1,MATCH(Summary!$B17,BCA!$F$9:$AJ$9,0)))/10^6</f>
        <v>2.3103499590620884</v>
      </c>
      <c r="D17" s="314">
        <f>(INDEX(BCA!$F$35:$AJ$35,1,MATCH(Summary!$B17,BCA!$F$9:$AJ$9,0)))/10^6</f>
        <v>3.4947272333610435</v>
      </c>
      <c r="E17" s="314">
        <f>(INDEX(BCA!$F$36:$AJ$36,1,MATCH(Summary!$B17,BCA!$F$9:$AJ$9,0)))/10^6</f>
        <v>0.46933641507075768</v>
      </c>
      <c r="F17" s="314">
        <f>(INDEX(BCA!$F$38:$AJ$38,1,MATCH(Summary!$B17,BCA!$F$9:$AJ$9,0)))/10^6</f>
        <v>0.90293041289670783</v>
      </c>
      <c r="G17" s="314">
        <f>(INDEX(BCA!$F$40:$AJ$40,1,MATCH(Summary!$B17,BCA!$F$9:$AJ$9,0)))/10^6</f>
        <v>5.8384867805181317E-2</v>
      </c>
      <c r="H17" s="314">
        <f>(INDEX(BCA!$F$41:$AJ$41,1,MATCH(Summary!$B17,BCA!$F$9:$AJ$9,0)))/10^6</f>
        <v>0.12980191974300428</v>
      </c>
      <c r="I17" s="314">
        <f>(INDEX(BCA!$F$42:$AJ$42,1,MATCH(Summary!$B17,BCA!$F$9:$AJ$9,0)))/10^6</f>
        <v>4.2424732716002979E-2</v>
      </c>
      <c r="J17" s="314">
        <f>(INDEX(BCA!$F$44:$AJ$44,1,MATCH(Summary!$B17,BCA!$F$9:$AJ$9,0)))/10^6</f>
        <v>-7.6194951416338232E-3</v>
      </c>
      <c r="K17" s="314">
        <f>(INDEX(BCA!$F$45:$AJ$45,1,MATCH(Summary!$B17,BCA!$F$9:$AJ$9,0)))/10^6</f>
        <v>0</v>
      </c>
      <c r="L17" s="314">
        <f t="shared" si="0"/>
        <v>7.4003360455131526</v>
      </c>
      <c r="M17" s="314">
        <f>(INDEX(BCA!$F$53:$AJ$53,1,MATCH(Summary!$B17,BCA!$F$9:$AJ$9,0)))/10^6</f>
        <v>0</v>
      </c>
      <c r="N17" s="314">
        <f t="shared" si="1"/>
        <v>7.4003360455131526</v>
      </c>
      <c r="Q17" s="815"/>
      <c r="R17" s="89" t="s">
        <v>315</v>
      </c>
      <c r="S17" s="728">
        <f>BCA!D18/10^6</f>
        <v>201.50957222616987</v>
      </c>
      <c r="T17" s="729">
        <f>BCA!D35/10^6</f>
        <v>52.80709301639255</v>
      </c>
    </row>
    <row r="18" spans="2:20" ht="15" thickBot="1" x14ac:dyDescent="0.4">
      <c r="B18" s="317">
        <v>2041</v>
      </c>
      <c r="C18" s="314">
        <f>(INDEX(BCA!$F$34:$AJ$34,1,MATCH(Summary!$B18,BCA!$F$9:$AJ$9,0)))/10^6</f>
        <v>2.2282294084650758</v>
      </c>
      <c r="D18" s="314">
        <f>(INDEX(BCA!$F$35:$AJ$35,1,MATCH(Summary!$B18,BCA!$F$9:$AJ$9,0)))/10^6</f>
        <v>3.3705084224989474</v>
      </c>
      <c r="E18" s="314">
        <f>(INDEX(BCA!$F$36:$AJ$36,1,MATCH(Summary!$B18,BCA!$F$9:$AJ$9,0)))/10^6</f>
        <v>0.45265402257447762</v>
      </c>
      <c r="F18" s="314">
        <f>(INDEX(BCA!$F$38:$AJ$38,1,MATCH(Summary!$B18,BCA!$F$9:$AJ$9,0)))/10^6</f>
        <v>0.87083607914998529</v>
      </c>
      <c r="G18" s="314">
        <f>(INDEX(BCA!$F$40:$AJ$40,1,MATCH(Summary!$B18,BCA!$F$9:$AJ$9,0)))/10^6</f>
        <v>5.4613203087307514E-2</v>
      </c>
      <c r="H18" s="314">
        <f>(INDEX(BCA!$F$41:$AJ$41,1,MATCH(Summary!$B18,BCA!$F$9:$AJ$9,0)))/10^6</f>
        <v>0.12518815762612914</v>
      </c>
      <c r="I18" s="314">
        <f>(INDEX(BCA!$F$42:$AJ$42,1,MATCH(Summary!$B18,BCA!$F$9:$AJ$9,0)))/10^6</f>
        <v>4.0916760992540102E-2</v>
      </c>
      <c r="J18" s="314">
        <f>(INDEX(BCA!$F$44:$AJ$44,1,MATCH(Summary!$B18,BCA!$F$9:$AJ$9,0)))/10^6</f>
        <v>-7.121023496854042E-3</v>
      </c>
      <c r="K18" s="314">
        <f>(INDEX(BCA!$F$45:$AJ$45,1,MATCH(Summary!$B18,BCA!$F$9:$AJ$9,0)))/10^6</f>
        <v>0</v>
      </c>
      <c r="L18" s="314">
        <f t="shared" si="0"/>
        <v>7.1358250308976086</v>
      </c>
      <c r="M18" s="314">
        <f>(INDEX(BCA!$F$53:$AJ$53,1,MATCH(Summary!$B18,BCA!$F$9:$AJ$9,0)))/10^6</f>
        <v>0</v>
      </c>
      <c r="N18" s="314">
        <f t="shared" si="1"/>
        <v>7.1358250308976086</v>
      </c>
      <c r="Q18" s="816"/>
      <c r="R18" s="645" t="s">
        <v>316</v>
      </c>
      <c r="S18" s="730">
        <f>BCA!D19/10^6</f>
        <v>27.062421160725183</v>
      </c>
      <c r="T18" s="731">
        <f>BCA!D36/10^6</f>
        <v>7.0919102040434492</v>
      </c>
    </row>
    <row r="19" spans="2:20" ht="15" thickBot="1" x14ac:dyDescent="0.4">
      <c r="B19" s="317">
        <v>2042</v>
      </c>
      <c r="C19" s="314">
        <f>(INDEX(BCA!$F$34:$AJ$34,1,MATCH(Summary!$B19,BCA!$F$9:$AJ$9,0)))/10^6</f>
        <v>2.1490278030278231</v>
      </c>
      <c r="D19" s="314">
        <f>(INDEX(BCA!$F$35:$AJ$35,1,MATCH(Summary!$B19,BCA!$F$9:$AJ$9,0)))/10^6</f>
        <v>3.2507049241753259</v>
      </c>
      <c r="E19" s="314">
        <f>(INDEX(BCA!$F$36:$AJ$36,1,MATCH(Summary!$B19,BCA!$F$9:$AJ$9,0)))/10^6</f>
        <v>0.43656459966347477</v>
      </c>
      <c r="F19" s="314">
        <f>(INDEX(BCA!$F$38:$AJ$38,1,MATCH(Summary!$B19,BCA!$F$9:$AJ$9,0)))/10^6</f>
        <v>0.83988252684548059</v>
      </c>
      <c r="G19" s="314">
        <f>(INDEX(BCA!$F$40:$AJ$40,1,MATCH(Summary!$B19,BCA!$F$9:$AJ$9,0)))/10^6</f>
        <v>5.1035898595058346E-2</v>
      </c>
      <c r="H19" s="314">
        <f>(INDEX(BCA!$F$41:$AJ$41,1,MATCH(Summary!$B19,BCA!$F$9:$AJ$9,0)))/10^6</f>
        <v>0.12073839000882124</v>
      </c>
      <c r="I19" s="314">
        <f>(INDEX(BCA!$F$42:$AJ$42,1,MATCH(Summary!$B19,BCA!$F$9:$AJ$9,0)))/10^6</f>
        <v>3.9462389576567364E-2</v>
      </c>
      <c r="J19" s="314">
        <f>(INDEX(BCA!$F$44:$AJ$44,1,MATCH(Summary!$B19,BCA!$F$9:$AJ$9,0)))/10^6</f>
        <v>-1.9232242646625753E-2</v>
      </c>
      <c r="K19" s="314">
        <f>(INDEX(BCA!$F$45:$AJ$45,1,MATCH(Summary!$B19,BCA!$F$9:$AJ$9,0)))/10^6</f>
        <v>0</v>
      </c>
      <c r="L19" s="314">
        <f t="shared" si="0"/>
        <v>6.8681842892459262</v>
      </c>
      <c r="M19" s="314">
        <f>(INDEX(BCA!$F$53:$AJ$53,1,MATCH(Summary!$B19,BCA!$F$9:$AJ$9,0)))/10^6</f>
        <v>0</v>
      </c>
      <c r="N19" s="314">
        <f t="shared" si="1"/>
        <v>6.8681842892459262</v>
      </c>
      <c r="Q19" s="654" t="s">
        <v>18</v>
      </c>
      <c r="R19" s="646" t="s">
        <v>317</v>
      </c>
      <c r="S19" s="732">
        <f>BCA!D21/10^6</f>
        <v>52.063897724522988</v>
      </c>
      <c r="T19" s="733">
        <f>BCA!D38/10^6</f>
        <v>13.64373443683872</v>
      </c>
    </row>
    <row r="20" spans="2:20" ht="15" thickBot="1" x14ac:dyDescent="0.4">
      <c r="B20" s="317">
        <v>2043</v>
      </c>
      <c r="C20" s="314">
        <f>(INDEX(BCA!$F$34:$AJ$34,1,MATCH(Summary!$B20,BCA!$F$9:$AJ$9,0)))/10^6</f>
        <v>2.0726413899042582</v>
      </c>
      <c r="D20" s="314">
        <f>(INDEX(BCA!$F$35:$AJ$35,1,MATCH(Summary!$B20,BCA!$F$9:$AJ$9,0)))/10^6</f>
        <v>3.1351597977088304</v>
      </c>
      <c r="E20" s="314">
        <f>(INDEX(BCA!$F$36:$AJ$36,1,MATCH(Summary!$B20,BCA!$F$9:$AJ$9,0)))/10^6</f>
        <v>0.42104706944909892</v>
      </c>
      <c r="F20" s="314">
        <f>(INDEX(BCA!$F$38:$AJ$38,1,MATCH(Summary!$B20,BCA!$F$9:$AJ$9,0)))/10^6</f>
        <v>0.81002920732095307</v>
      </c>
      <c r="G20" s="314">
        <f>(INDEX(BCA!$F$40:$AJ$40,1,MATCH(Summary!$B20,BCA!$F$9:$AJ$9,0)))/10^6</f>
        <v>4.7643902602339021E-2</v>
      </c>
      <c r="H20" s="314">
        <f>(INDEX(BCA!$F$41:$AJ$41,1,MATCH(Summary!$B20,BCA!$F$9:$AJ$9,0)))/10^6</f>
        <v>0.11644678776612631</v>
      </c>
      <c r="I20" s="314">
        <f>(INDEX(BCA!$F$42:$AJ$42,1,MATCH(Summary!$B20,BCA!$F$9:$AJ$9,0)))/10^6</f>
        <v>3.8059713264612868E-2</v>
      </c>
      <c r="J20" s="314">
        <f>(INDEX(BCA!$F$44:$AJ$44,1,MATCH(Summary!$B20,BCA!$F$9:$AJ$9,0)))/10^6</f>
        <v>-6.2197777070958516E-3</v>
      </c>
      <c r="K20" s="314">
        <f>(INDEX(BCA!$F$45:$AJ$45,1,MATCH(Summary!$B20,BCA!$F$9:$AJ$9,0)))/10^6</f>
        <v>0</v>
      </c>
      <c r="L20" s="314">
        <f t="shared" si="0"/>
        <v>6.6348080903091233</v>
      </c>
      <c r="M20" s="314">
        <f>(INDEX(BCA!$F$53:$AJ$53,1,MATCH(Summary!$B20,BCA!$F$9:$AJ$9,0)))/10^6</f>
        <v>0</v>
      </c>
      <c r="N20" s="314">
        <f t="shared" si="1"/>
        <v>6.6348080903091233</v>
      </c>
      <c r="Q20" s="817" t="s">
        <v>54</v>
      </c>
      <c r="R20" s="644" t="s">
        <v>318</v>
      </c>
      <c r="S20" s="726">
        <f>BCA!D23/10^6</f>
        <v>3.1052010142337121</v>
      </c>
      <c r="T20" s="727">
        <f>BCA!D40/10^6</f>
        <v>0.8930501495645552</v>
      </c>
    </row>
    <row r="21" spans="2:20" ht="15" thickBot="1" x14ac:dyDescent="0.4">
      <c r="B21" s="317">
        <v>2044</v>
      </c>
      <c r="C21" s="314">
        <f>(INDEX(BCA!$F$34:$AJ$34,1,MATCH(Summary!$B21,BCA!$F$9:$AJ$9,0)))/10^6</f>
        <v>1.9989701041055528</v>
      </c>
      <c r="D21" s="314">
        <f>(INDEX(BCA!$F$35:$AJ$35,1,MATCH(Summary!$B21,BCA!$F$9:$AJ$9,0)))/10^6</f>
        <v>3.0237216808176663</v>
      </c>
      <c r="E21" s="314">
        <f>(INDEX(BCA!$F$36:$AJ$36,1,MATCH(Summary!$B21,BCA!$F$9:$AJ$9,0)))/10^6</f>
        <v>0.4060811042130556</v>
      </c>
      <c r="F21" s="314">
        <f>(INDEX(BCA!$F$38:$AJ$38,1,MATCH(Summary!$B21,BCA!$F$9:$AJ$9,0)))/10^6</f>
        <v>0.78123701320164318</v>
      </c>
      <c r="G21" s="314">
        <f>(INDEX(BCA!$F$40:$AJ$40,1,MATCH(Summary!$B21,BCA!$F$9:$AJ$9,0)))/10^6</f>
        <v>4.4428561304857991E-2</v>
      </c>
      <c r="H21" s="314">
        <f>(INDEX(BCA!$F$41:$AJ$41,1,MATCH(Summary!$B21,BCA!$F$9:$AJ$9,0)))/10^6</f>
        <v>0.11230772896722059</v>
      </c>
      <c r="I21" s="314">
        <f>(INDEX(BCA!$F$42:$AJ$42,1,MATCH(Summary!$B21,BCA!$F$9:$AJ$9,0)))/10^6</f>
        <v>3.6706894572970522E-2</v>
      </c>
      <c r="J21" s="314">
        <f>(INDEX(BCA!$F$44:$AJ$44,1,MATCH(Summary!$B21,BCA!$F$9:$AJ$9,0)))/10^6</f>
        <v>-5.8128763617718241E-3</v>
      </c>
      <c r="K21" s="314">
        <f>(INDEX(BCA!$F$45:$AJ$45,1,MATCH(Summary!$B21,BCA!$F$9:$AJ$9,0)))/10^6</f>
        <v>0</v>
      </c>
      <c r="L21" s="314">
        <f t="shared" si="0"/>
        <v>6.3976402108211943</v>
      </c>
      <c r="M21" s="314">
        <f>(INDEX(BCA!$F$53:$AJ$53,1,MATCH(Summary!$B21,BCA!$F$9:$AJ$9,0)))/10^6</f>
        <v>0</v>
      </c>
      <c r="N21" s="314">
        <f t="shared" si="1"/>
        <v>6.3976402108211943</v>
      </c>
      <c r="Q21" s="818"/>
      <c r="R21" s="89" t="s">
        <v>319</v>
      </c>
      <c r="S21" s="728">
        <f>BCA!D24/10^6</f>
        <v>7.4845124025295267</v>
      </c>
      <c r="T21" s="729">
        <f>BCA!D41/10^6</f>
        <v>1.9613725455141999</v>
      </c>
    </row>
    <row r="22" spans="2:20" ht="14.5" customHeight="1" thickBot="1" x14ac:dyDescent="0.4">
      <c r="B22" s="317">
        <v>2045</v>
      </c>
      <c r="C22" s="314">
        <f>(INDEX(BCA!$F$34:$AJ$34,1,MATCH(Summary!$B22,BCA!$F$9:$AJ$9,0)))/10^6</f>
        <v>1.9279174374165837</v>
      </c>
      <c r="D22" s="314">
        <f>(INDEX(BCA!$F$35:$AJ$35,1,MATCH(Summary!$B22,BCA!$F$9:$AJ$9,0)))/10^6</f>
        <v>2.9162445913373913</v>
      </c>
      <c r="E22" s="314">
        <f>(INDEX(BCA!$F$36:$AJ$36,1,MATCH(Summary!$B22,BCA!$F$9:$AJ$9,0)))/10^6</f>
        <v>0.39164709877841747</v>
      </c>
      <c r="F22" s="314">
        <f>(INDEX(BCA!$F$38:$AJ$38,1,MATCH(Summary!$B22,BCA!$F$9:$AJ$9,0)))/10^6</f>
        <v>0.75346822717022832</v>
      </c>
      <c r="G22" s="314">
        <f>(INDEX(BCA!$F$40:$AJ$40,1,MATCH(Summary!$B22,BCA!$F$9:$AJ$9,0)))/10^6</f>
        <v>4.138160196829755E-2</v>
      </c>
      <c r="H22" s="314">
        <f>(INDEX(BCA!$F$41:$AJ$41,1,MATCH(Summary!$B22,BCA!$F$9:$AJ$9,0)))/10^6</f>
        <v>0.10831579151077046</v>
      </c>
      <c r="I22" s="314">
        <f>(INDEX(BCA!$F$42:$AJ$42,1,MATCH(Summary!$B22,BCA!$F$9:$AJ$9,0)))/10^6</f>
        <v>3.5402161330625501E-2</v>
      </c>
      <c r="J22" s="314">
        <f>(INDEX(BCA!$F$44:$AJ$44,1,MATCH(Summary!$B22,BCA!$F$9:$AJ$9,0)))/10^6</f>
        <v>-2.3399221922537117E-2</v>
      </c>
      <c r="K22" s="314">
        <f>(INDEX(BCA!$F$45:$AJ$45,1,MATCH(Summary!$B22,BCA!$F$9:$AJ$9,0)))/10^6</f>
        <v>0</v>
      </c>
      <c r="L22" s="314">
        <f t="shared" si="0"/>
        <v>6.1509776875897781</v>
      </c>
      <c r="M22" s="314">
        <f>(INDEX(BCA!$F$53:$AJ$53,1,MATCH(Summary!$B22,BCA!$F$9:$AJ$9,0)))/10^6</f>
        <v>0</v>
      </c>
      <c r="N22" s="314">
        <f t="shared" si="1"/>
        <v>6.1509776875897781</v>
      </c>
      <c r="Q22" s="819"/>
      <c r="R22" s="647" t="s">
        <v>320</v>
      </c>
      <c r="S22" s="730">
        <f>BCA!D25/10^6</f>
        <v>2.4462537905109665</v>
      </c>
      <c r="T22" s="731">
        <f>BCA!D42/10^6</f>
        <v>0.64105913198122</v>
      </c>
    </row>
    <row r="23" spans="2:20" ht="15" thickBot="1" x14ac:dyDescent="0.4">
      <c r="B23" s="317">
        <v>2046</v>
      </c>
      <c r="C23" s="314">
        <f>(INDEX(BCA!$F$34:$AJ$34,1,MATCH(Summary!$B23,BCA!$F$9:$AJ$9,0)))/10^6</f>
        <v>1.8593903119717012</v>
      </c>
      <c r="D23" s="314">
        <f>(INDEX(BCA!$F$35:$AJ$35,1,MATCH(Summary!$B23,BCA!$F$9:$AJ$9,0)))/10^6</f>
        <v>2.8125877359866114</v>
      </c>
      <c r="E23" s="314">
        <f>(INDEX(BCA!$F$36:$AJ$36,1,MATCH(Summary!$B23,BCA!$F$9:$AJ$9,0)))/10^6</f>
        <v>0.37772614482715466</v>
      </c>
      <c r="F23" s="314">
        <f>(INDEX(BCA!$F$38:$AJ$38,1,MATCH(Summary!$B23,BCA!$F$9:$AJ$9,0)))/10^6</f>
        <v>0.72668647255774044</v>
      </c>
      <c r="G23" s="314">
        <f>(INDEX(BCA!$F$40:$AJ$40,1,MATCH(Summary!$B23,BCA!$F$9:$AJ$9,0)))/10^6</f>
        <v>3.8495116771726151E-2</v>
      </c>
      <c r="H23" s="314">
        <f>(INDEX(BCA!$F$41:$AJ$41,1,MATCH(Summary!$B23,BCA!$F$9:$AJ$9,0)))/10^6</f>
        <v>0.10446574602206604</v>
      </c>
      <c r="I23" s="314">
        <f>(INDEX(BCA!$F$42:$AJ$42,1,MATCH(Summary!$B23,BCA!$F$9:$AJ$9,0)))/10^6</f>
        <v>3.4143804357738422E-2</v>
      </c>
      <c r="J23" s="314">
        <f>(INDEX(BCA!$F$44:$AJ$44,1,MATCH(Summary!$B23,BCA!$F$9:$AJ$9,0)))/10^6</f>
        <v>-5.0771913370353961E-3</v>
      </c>
      <c r="K23" s="314">
        <f>(INDEX(BCA!$F$45:$AJ$45,1,MATCH(Summary!$B23,BCA!$F$9:$AJ$9,0)))/10^6</f>
        <v>0</v>
      </c>
      <c r="L23" s="314">
        <f t="shared" si="0"/>
        <v>5.9484181411577017</v>
      </c>
      <c r="M23" s="314">
        <f>(INDEX(BCA!$F$53:$AJ$53,1,MATCH(Summary!$B23,BCA!$F$9:$AJ$9,0)))/10^6</f>
        <v>0</v>
      </c>
      <c r="N23" s="314">
        <f t="shared" si="1"/>
        <v>5.9484181411577017</v>
      </c>
      <c r="Q23" s="817" t="s">
        <v>58</v>
      </c>
      <c r="R23" s="644" t="s">
        <v>321</v>
      </c>
      <c r="S23" s="726">
        <f>BCA!D27/10^6</f>
        <v>-0.76746339198291846</v>
      </c>
      <c r="T23" s="727">
        <f>BCA!D44/10^6</f>
        <v>-0.21808908336713737</v>
      </c>
    </row>
    <row r="24" spans="2:20" ht="15" thickBot="1" x14ac:dyDescent="0.4">
      <c r="B24" s="317">
        <v>2047</v>
      </c>
      <c r="C24" s="314">
        <f>(INDEX(BCA!$F$34:$AJ$34,1,MATCH(Summary!$B24,BCA!$F$9:$AJ$9,0)))/10^6</f>
        <v>1.7932989583241992</v>
      </c>
      <c r="D24" s="314">
        <f>(INDEX(BCA!$F$35:$AJ$35,1,MATCH(Summary!$B24,BCA!$F$9:$AJ$9,0)))/10^6</f>
        <v>2.7126153259300039</v>
      </c>
      <c r="E24" s="314">
        <f>(INDEX(BCA!$F$36:$AJ$36,1,MATCH(Summary!$B24,BCA!$F$9:$AJ$9,0)))/10^6</f>
        <v>0.36430000613053709</v>
      </c>
      <c r="F24" s="314">
        <f>(INDEX(BCA!$F$38:$AJ$38,1,MATCH(Summary!$B24,BCA!$F$9:$AJ$9,0)))/10^6</f>
        <v>0.70085666569070293</v>
      </c>
      <c r="G24" s="314">
        <f>(INDEX(BCA!$F$40:$AJ$40,1,MATCH(Summary!$B24,BCA!$F$9:$AJ$9,0)))/10^6</f>
        <v>3.576154731811864E-2</v>
      </c>
      <c r="H24" s="314">
        <f>(INDEX(BCA!$F$41:$AJ$41,1,MATCH(Summary!$B24,BCA!$F$9:$AJ$9,0)))/10^6</f>
        <v>0.10075254900262304</v>
      </c>
      <c r="I24" s="314">
        <f>(INDEX(BCA!$F$42:$AJ$42,1,MATCH(Summary!$B24,BCA!$F$9:$AJ$9,0)))/10^6</f>
        <v>3.2930175226646798E-2</v>
      </c>
      <c r="J24" s="314">
        <f>(INDEX(BCA!$F$44:$AJ$44,1,MATCH(Summary!$B24,BCA!$F$9:$AJ$9,0)))/10^6</f>
        <v>-4.7450386327433595E-3</v>
      </c>
      <c r="K24" s="314">
        <f>(INDEX(BCA!$F$45:$AJ$45,1,MATCH(Summary!$B24,BCA!$F$9:$AJ$9,0)))/10^6</f>
        <v>0</v>
      </c>
      <c r="L24" s="314">
        <f t="shared" si="0"/>
        <v>5.7357701889900889</v>
      </c>
      <c r="M24" s="314">
        <f>(INDEX(BCA!$F$53:$AJ$53,1,MATCH(Summary!$B24,BCA!$F$9:$AJ$9,0)))/10^6</f>
        <v>0</v>
      </c>
      <c r="N24" s="314">
        <f t="shared" si="1"/>
        <v>5.7357701889900889</v>
      </c>
      <c r="Q24" s="819"/>
      <c r="R24" s="647" t="s">
        <v>322</v>
      </c>
      <c r="S24" s="730">
        <f>BCA!D28/10^6</f>
        <v>9.2080105188854677</v>
      </c>
      <c r="T24" s="731">
        <f>BCA!D45/10^6</f>
        <v>1.3849051541217556</v>
      </c>
    </row>
    <row r="25" spans="2:20" ht="15" thickBot="1" x14ac:dyDescent="0.4">
      <c r="B25" s="317">
        <v>2048</v>
      </c>
      <c r="C25" s="314">
        <f>(INDEX(BCA!$F$34:$AJ$34,1,MATCH(Summary!$B25,BCA!$F$9:$AJ$9,0)))/10^6</f>
        <v>1.7295567978497695</v>
      </c>
      <c r="D25" s="314">
        <f>(INDEX(BCA!$F$35:$AJ$35,1,MATCH(Summary!$B25,BCA!$F$9:$AJ$9,0)))/10^6</f>
        <v>2.6161963988971078</v>
      </c>
      <c r="E25" s="314">
        <f>(INDEX(BCA!$F$36:$AJ$36,1,MATCH(Summary!$B25,BCA!$F$9:$AJ$9,0)))/10^6</f>
        <v>0.35135109465996534</v>
      </c>
      <c r="F25" s="314">
        <f>(INDEX(BCA!$F$38:$AJ$38,1,MATCH(Summary!$B25,BCA!$F$9:$AJ$9,0)))/10^6</f>
        <v>0.67594496993207842</v>
      </c>
      <c r="G25" s="314">
        <f>(INDEX(BCA!$F$40:$AJ$40,1,MATCH(Summary!$B25,BCA!$F$9:$AJ$9,0)))/10^6</f>
        <v>3.3173669784973381E-2</v>
      </c>
      <c r="H25" s="314">
        <f>(INDEX(BCA!$F$41:$AJ$41,1,MATCH(Summary!$B25,BCA!$F$9:$AJ$9,0)))/10^6</f>
        <v>9.7171336223280044E-2</v>
      </c>
      <c r="I25" s="314">
        <f>(INDEX(BCA!$F$42:$AJ$42,1,MATCH(Summary!$B25,BCA!$F$9:$AJ$9,0)))/10^6</f>
        <v>3.1759684102451009E-2</v>
      </c>
      <c r="J25" s="314">
        <f>(INDEX(BCA!$F$44:$AJ$44,1,MATCH(Summary!$B25,BCA!$F$9:$AJ$9,0)))/10^6</f>
        <v>-1.072009538675352E-2</v>
      </c>
      <c r="K25" s="314">
        <f>(INDEX(BCA!$F$45:$AJ$45,1,MATCH(Summary!$B25,BCA!$F$9:$AJ$9,0)))/10^6</f>
        <v>0</v>
      </c>
      <c r="L25" s="314">
        <f t="shared" si="0"/>
        <v>5.5244338560628714</v>
      </c>
      <c r="M25" s="314">
        <f>(INDEX(BCA!$F$53:$AJ$53,1,MATCH(Summary!$B25,BCA!$F$9:$AJ$9,0)))/10^6</f>
        <v>0</v>
      </c>
      <c r="N25" s="314">
        <f t="shared" si="1"/>
        <v>5.5244338560628714</v>
      </c>
      <c r="Q25" s="820" t="s">
        <v>323</v>
      </c>
      <c r="R25" s="821"/>
      <c r="S25" s="734">
        <f>SUM(S16:S24)</f>
        <v>435.32956399779505</v>
      </c>
      <c r="T25" s="735">
        <f>SUM(T16:T24)</f>
        <v>113.11558995371524</v>
      </c>
    </row>
    <row r="26" spans="2:20" ht="15" thickBot="1" x14ac:dyDescent="0.4">
      <c r="B26" s="317">
        <v>2049</v>
      </c>
      <c r="C26" s="314">
        <f>(INDEX(BCA!$F$34:$AJ$34,1,MATCH(Summary!$B26,BCA!$F$9:$AJ$9,0)))/10^6</f>
        <v>1.6680803293298736</v>
      </c>
      <c r="D26" s="314">
        <f>(INDEX(BCA!$F$35:$AJ$35,1,MATCH(Summary!$B26,BCA!$F$9:$AJ$9,0)))/10^6</f>
        <v>2.5232046476238223</v>
      </c>
      <c r="E26" s="314">
        <f>(INDEX(BCA!$F$36:$AJ$36,1,MATCH(Summary!$B26,BCA!$F$9:$AJ$9,0)))/10^6</f>
        <v>0.3388624475469314</v>
      </c>
      <c r="F26" s="314">
        <f>(INDEX(BCA!$F$38:$AJ$38,1,MATCH(Summary!$B26,BCA!$F$9:$AJ$9,0)))/10^6</f>
        <v>0.65191875135580846</v>
      </c>
      <c r="G26" s="314">
        <f>(INDEX(BCA!$F$40:$AJ$40,1,MATCH(Summary!$B26,BCA!$F$9:$AJ$9,0)))/10^6</f>
        <v>3.0724580689091313E-2</v>
      </c>
      <c r="H26" s="314">
        <f>(INDEX(BCA!$F$41:$AJ$41,1,MATCH(Summary!$B26,BCA!$F$9:$AJ$9,0)))/10^6</f>
        <v>9.3717416352135305E-2</v>
      </c>
      <c r="I26" s="314">
        <f>(INDEX(BCA!$F$42:$AJ$42,1,MATCH(Summary!$B26,BCA!$F$9:$AJ$9,0)))/10^6</f>
        <v>3.0630797660355806E-2</v>
      </c>
      <c r="J26" s="314">
        <f>(INDEX(BCA!$F$44:$AJ$44,1,MATCH(Summary!$B26,BCA!$F$9:$AJ$9,0)))/10^6</f>
        <v>-4.1445005089906194E-3</v>
      </c>
      <c r="K26" s="314">
        <f>(INDEX(BCA!$F$45:$AJ$45,1,MATCH(Summary!$B26,BCA!$F$9:$AJ$9,0)))/10^6</f>
        <v>0</v>
      </c>
      <c r="L26" s="314">
        <f t="shared" si="0"/>
        <v>5.3329944700490284</v>
      </c>
      <c r="M26" s="314">
        <f>(INDEX(BCA!$F$53:$AJ$53,1,MATCH(Summary!$B26,BCA!$F$9:$AJ$9,0)))/10^6</f>
        <v>0</v>
      </c>
      <c r="N26" s="314">
        <f t="shared" si="1"/>
        <v>5.3329944700490284</v>
      </c>
    </row>
    <row r="27" spans="2:20" ht="15" thickBot="1" x14ac:dyDescent="0.4">
      <c r="B27" s="317">
        <v>2050</v>
      </c>
      <c r="C27" s="314">
        <f>(INDEX(BCA!$F$34:$AJ$34,1,MATCH(Summary!$B27,BCA!$F$9:$AJ$9,0)))/10^6</f>
        <v>1.6087890195664722</v>
      </c>
      <c r="D27" s="314">
        <f>(INDEX(BCA!$F$35:$AJ$35,1,MATCH(Summary!$B27,BCA!$F$9:$AJ$9,0)))/10^6</f>
        <v>2.4335182543918989</v>
      </c>
      <c r="E27" s="314">
        <f>(INDEX(BCA!$F$36:$AJ$36,1,MATCH(Summary!$B27,BCA!$F$9:$AJ$9,0)))/10^6</f>
        <v>0.3268177048619309</v>
      </c>
      <c r="F27" s="314">
        <f>(INDEX(BCA!$F$38:$AJ$38,1,MATCH(Summary!$B27,BCA!$F$9:$AJ$9,0)))/10^6</f>
        <v>0.62874653599689068</v>
      </c>
      <c r="G27" s="314">
        <f>(INDEX(BCA!$F$40:$AJ$40,1,MATCH(Summary!$B27,BCA!$F$9:$AJ$9,0)))/10^6</f>
        <v>2.8407683240618185E-2</v>
      </c>
      <c r="H27" s="314">
        <f>(INDEX(BCA!$F$41:$AJ$41,1,MATCH(Summary!$B27,BCA!$F$9:$AJ$9,0)))/10^6</f>
        <v>9.0386264808976519E-2</v>
      </c>
      <c r="I27" s="314">
        <f>(INDEX(BCA!$F$42:$AJ$42,1,MATCH(Summary!$B27,BCA!$F$9:$AJ$9,0)))/10^6</f>
        <v>2.954203707703917E-2</v>
      </c>
      <c r="J27" s="314">
        <f>(INDEX(BCA!$F$44:$AJ$44,1,MATCH(Summary!$B27,BCA!$F$9:$AJ$9,0)))/10^6</f>
        <v>-3.8733649616734759E-3</v>
      </c>
      <c r="K27" s="314">
        <f>(INDEX(BCA!$F$45:$AJ$45,1,MATCH(Summary!$B27,BCA!$F$9:$AJ$9,0)))/10^6</f>
        <v>0</v>
      </c>
      <c r="L27" s="314">
        <f t="shared" si="0"/>
        <v>5.1423341349821534</v>
      </c>
      <c r="M27" s="314">
        <f>(INDEX(BCA!$F$53:$AJ$53,1,MATCH(Summary!$B27,BCA!$F$9:$AJ$9,0)))/10^6</f>
        <v>0</v>
      </c>
      <c r="N27" s="314">
        <f t="shared" si="1"/>
        <v>5.1423341349821534</v>
      </c>
    </row>
    <row r="28" spans="2:20" ht="15" thickBot="1" x14ac:dyDescent="0.4">
      <c r="B28" s="317">
        <v>2051</v>
      </c>
      <c r="C28" s="314">
        <f>(INDEX(BCA!$F$34:$AJ$34,1,MATCH(Summary!$B28,BCA!$F$9:$AJ$9,0)))/10^6</f>
        <v>1.5516051978848171</v>
      </c>
      <c r="D28" s="314">
        <f>(INDEX(BCA!$F$35:$AJ$35,1,MATCH(Summary!$B28,BCA!$F$9:$AJ$9,0)))/10^6</f>
        <v>2.3470197314496559</v>
      </c>
      <c r="E28" s="314">
        <f>(INDEX(BCA!$F$36:$AJ$36,1,MATCH(Summary!$B28,BCA!$F$9:$AJ$9,0)))/10^6</f>
        <v>0.31520108818321413</v>
      </c>
      <c r="F28" s="314">
        <f>(INDEX(BCA!$F$38:$AJ$38,1,MATCH(Summary!$B28,BCA!$F$9:$AJ$9,0)))/10^6</f>
        <v>0.60639796862098116</v>
      </c>
      <c r="G28" s="314">
        <f>(INDEX(BCA!$F$40:$AJ$40,1,MATCH(Summary!$B28,BCA!$F$9:$AJ$9,0)))/10^6</f>
        <v>2.7256192389437252E-2</v>
      </c>
      <c r="H28" s="314">
        <f>(INDEX(BCA!$F$41:$AJ$41,1,MATCH(Summary!$B28,BCA!$F$9:$AJ$9,0)))/10^6</f>
        <v>8.7173517838152359E-2</v>
      </c>
      <c r="I28" s="314">
        <f>(INDEX(BCA!$F$42:$AJ$42,1,MATCH(Summary!$B28,BCA!$F$9:$AJ$9,0)))/10^6</f>
        <v>2.8491976093417169E-2</v>
      </c>
      <c r="J28" s="314">
        <f>(INDEX(BCA!$F$44:$AJ$44,1,MATCH(Summary!$B28,BCA!$F$9:$AJ$9,0)))/10^6</f>
        <v>-1.7302164188230763E-2</v>
      </c>
      <c r="K28" s="314">
        <f>(INDEX(BCA!$F$45:$AJ$45,1,MATCH(Summary!$B28,BCA!$F$9:$AJ$9,0)))/10^6</f>
        <v>0</v>
      </c>
      <c r="L28" s="314">
        <f t="shared" si="0"/>
        <v>4.9458435082714454</v>
      </c>
      <c r="M28" s="314">
        <f>(INDEX(BCA!$F$53:$AJ$53,1,MATCH(Summary!$B28,BCA!$F$9:$AJ$9,0)))/10^6</f>
        <v>0</v>
      </c>
      <c r="N28" s="314">
        <f t="shared" si="1"/>
        <v>4.9458435082714454</v>
      </c>
    </row>
    <row r="29" spans="2:20" ht="15" thickBot="1" x14ac:dyDescent="0.4">
      <c r="B29" s="317">
        <v>2052</v>
      </c>
      <c r="C29" s="314">
        <f>(INDEX(BCA!$F$34:$AJ$34,1,MATCH(Summary!$B29,BCA!$F$9:$AJ$9,0)))/10^6</f>
        <v>1.4964539543860991</v>
      </c>
      <c r="D29" s="314">
        <f>(INDEX(BCA!$F$35:$AJ$35,1,MATCH(Summary!$B29,BCA!$F$9:$AJ$9,0)))/10^6</f>
        <v>2.2635957671049027</v>
      </c>
      <c r="E29" s="314">
        <f>(INDEX(BCA!$F$36:$AJ$36,1,MATCH(Summary!$B29,BCA!$F$9:$AJ$9,0)))/10^6</f>
        <v>0.30399737992730513</v>
      </c>
      <c r="F29" s="314">
        <f>(INDEX(BCA!$F$38:$AJ$38,1,MATCH(Summary!$B29,BCA!$F$9:$AJ$9,0)))/10^6</f>
        <v>0.58484377295952372</v>
      </c>
      <c r="G29" s="314">
        <f>(INDEX(BCA!$F$40:$AJ$40,1,MATCH(Summary!$B29,BCA!$F$9:$AJ$9,0)))/10^6</f>
        <v>2.6150669317077466E-2</v>
      </c>
      <c r="H29" s="314">
        <f>(INDEX(BCA!$F$41:$AJ$41,1,MATCH(Summary!$B29,BCA!$F$9:$AJ$9,0)))/10^6</f>
        <v>8.407496679212223E-2</v>
      </c>
      <c r="I29" s="314">
        <f>(INDEX(BCA!$F$42:$AJ$42,1,MATCH(Summary!$B29,BCA!$F$9:$AJ$9,0)))/10^6</f>
        <v>2.7479239146267324E-2</v>
      </c>
      <c r="J29" s="314">
        <f>(INDEX(BCA!$F$44:$AJ$44,1,MATCH(Summary!$B29,BCA!$F$9:$AJ$9,0)))/10^6</f>
        <v>-3.3831469662620982E-3</v>
      </c>
      <c r="K29" s="314">
        <f>(INDEX(BCA!$F$45:$AJ$45,1,MATCH(Summary!$B29,BCA!$F$9:$AJ$9,0)))/10^6</f>
        <v>1.3849051541217556</v>
      </c>
      <c r="L29" s="314">
        <f t="shared" si="0"/>
        <v>6.1681177567887921</v>
      </c>
      <c r="M29" s="314">
        <f>(INDEX(BCA!$F$53:$AJ$53,1,MATCH(Summary!$B29,BCA!$F$9:$AJ$9,0)))/10^6</f>
        <v>0</v>
      </c>
      <c r="N29" s="314">
        <f t="shared" si="1"/>
        <v>6.1681177567887921</v>
      </c>
    </row>
    <row r="30" spans="2:20" ht="15" thickBot="1" x14ac:dyDescent="0.4">
      <c r="B30" s="317">
        <v>2053</v>
      </c>
      <c r="C30" s="314">
        <f>(INDEX(BCA!$F$34:$AJ$34,1,MATCH(Summary!$B30,BCA!$F$9:$AJ$9,0)))/10^6</f>
        <v>0</v>
      </c>
      <c r="D30" s="314">
        <f>(INDEX(BCA!$F$35:$AJ$35,1,MATCH(Summary!$B30,BCA!$F$9:$AJ$9,0)))/10^6</f>
        <v>0</v>
      </c>
      <c r="E30" s="314">
        <f>(INDEX(BCA!$F$36:$AJ$36,1,MATCH(Summary!$B30,BCA!$F$9:$AJ$9,0)))/10^6</f>
        <v>0</v>
      </c>
      <c r="F30" s="314">
        <f>(INDEX(BCA!$F$38:$AJ$38,1,MATCH(Summary!$B30,BCA!$F$9:$AJ$9,0)))/10^6</f>
        <v>0</v>
      </c>
      <c r="G30" s="314">
        <f>(INDEX(BCA!$F$40:$AJ$40,1,MATCH(Summary!$B30,BCA!$F$9:$AJ$9,0)))/10^6</f>
        <v>0</v>
      </c>
      <c r="H30" s="314">
        <f>(INDEX(BCA!$F$41:$AJ$41,1,MATCH(Summary!$B30,BCA!$F$9:$AJ$9,0)))/10^6</f>
        <v>0</v>
      </c>
      <c r="I30" s="314">
        <f>(INDEX(BCA!$F$42:$AJ$42,1,MATCH(Summary!$B30,BCA!$F$9:$AJ$9,0)))/10^6</f>
        <v>0</v>
      </c>
      <c r="J30" s="314">
        <f>(INDEX(BCA!$F$44:$AJ$44,1,MATCH(Summary!$B30,BCA!$F$9:$AJ$9,0)))/10^6</f>
        <v>0</v>
      </c>
      <c r="K30" s="314">
        <f>(INDEX(BCA!$F$45:$AJ$45,1,MATCH(Summary!$B30,BCA!$F$9:$AJ$9,0)))/10^6</f>
        <v>0</v>
      </c>
      <c r="L30" s="314">
        <f t="shared" si="0"/>
        <v>0</v>
      </c>
      <c r="M30" s="314">
        <f>(INDEX(BCA!$F$53:$AJ$53,1,MATCH(Summary!$B30,BCA!$F$9:$AJ$9,0)))/10^6</f>
        <v>0</v>
      </c>
      <c r="N30" s="314">
        <f t="shared" si="1"/>
        <v>0</v>
      </c>
      <c r="Q30" s="8" t="s">
        <v>324</v>
      </c>
    </row>
    <row r="31" spans="2:20" ht="15" thickBot="1" x14ac:dyDescent="0.4">
      <c r="B31" s="315" t="s">
        <v>46</v>
      </c>
      <c r="C31" s="316">
        <f t="shared" ref="C31:N31" si="2">SUM(C3:C30)</f>
        <v>34.910554398625955</v>
      </c>
      <c r="D31" s="316">
        <f t="shared" si="2"/>
        <v>52.807093016392535</v>
      </c>
      <c r="E31" s="316">
        <f t="shared" si="2"/>
        <v>7.0919102040434518</v>
      </c>
      <c r="F31" s="316">
        <f t="shared" si="2"/>
        <v>13.64373443683872</v>
      </c>
      <c r="G31" s="316">
        <f t="shared" si="2"/>
        <v>0.89305014956455497</v>
      </c>
      <c r="H31" s="316">
        <f t="shared" si="2"/>
        <v>1.9613725455141995</v>
      </c>
      <c r="I31" s="316">
        <f t="shared" si="2"/>
        <v>0.64105913198122011</v>
      </c>
      <c r="J31" s="316">
        <f t="shared" si="2"/>
        <v>-0.21808908336713739</v>
      </c>
      <c r="K31" s="316">
        <f t="shared" si="2"/>
        <v>1.3849051541217556</v>
      </c>
      <c r="L31" s="316">
        <f t="shared" si="2"/>
        <v>113.11558995371524</v>
      </c>
      <c r="M31" s="316">
        <f t="shared" si="2"/>
        <v>31.385931031986253</v>
      </c>
      <c r="N31" s="316">
        <f t="shared" si="2"/>
        <v>81.729658921728998</v>
      </c>
      <c r="Q31" s="708" t="s">
        <v>325</v>
      </c>
      <c r="R31" s="714">
        <f>Safety!F92</f>
        <v>2.6520133174652907</v>
      </c>
    </row>
    <row r="32" spans="2:20" ht="14.15" customHeight="1" thickBot="1" x14ac:dyDescent="0.4">
      <c r="Q32" s="709" t="s">
        <v>326</v>
      </c>
      <c r="R32" s="715">
        <f>Safety!F93</f>
        <v>12.703350862230357</v>
      </c>
    </row>
    <row r="33" spans="17:19" ht="14.15" customHeight="1" x14ac:dyDescent="0.35">
      <c r="R33" s="713" t="s">
        <v>327</v>
      </c>
    </row>
    <row r="34" spans="17:19" ht="14.15" customHeight="1" x14ac:dyDescent="0.35"/>
    <row r="35" spans="17:19" ht="14.15" customHeight="1" x14ac:dyDescent="0.35">
      <c r="Q35" s="716" t="str">
        <f>Inputs!$B$102</f>
        <v>K - Killed</v>
      </c>
    </row>
    <row r="36" spans="17:19" x14ac:dyDescent="0.35">
      <c r="Q36" s="716" t="str">
        <f>Inputs!$B$103</f>
        <v>A - Incapacitating</v>
      </c>
    </row>
    <row r="37" spans="17:19" x14ac:dyDescent="0.35">
      <c r="Q37" s="717" t="str">
        <f>Inputs!$B$104</f>
        <v>U - Injured (Severity Unknown)</v>
      </c>
    </row>
    <row r="43" spans="17:19" ht="15" thickBot="1" x14ac:dyDescent="0.4"/>
    <row r="44" spans="17:19" x14ac:dyDescent="0.35">
      <c r="Q44" s="648" t="s">
        <v>309</v>
      </c>
      <c r="R44" s="822" t="s">
        <v>310</v>
      </c>
      <c r="S44" s="812" t="s">
        <v>312</v>
      </c>
    </row>
    <row r="45" spans="17:19" ht="15" thickBot="1" x14ac:dyDescent="0.4">
      <c r="Q45" s="652" t="s">
        <v>313</v>
      </c>
      <c r="R45" s="823"/>
      <c r="S45" s="813"/>
    </row>
    <row r="46" spans="17:19" x14ac:dyDescent="0.35">
      <c r="Q46" s="814" t="s">
        <v>48</v>
      </c>
      <c r="R46" s="644" t="s">
        <v>314</v>
      </c>
      <c r="S46" s="727">
        <f>T16</f>
        <v>34.910554398625948</v>
      </c>
    </row>
    <row r="47" spans="17:19" x14ac:dyDescent="0.35">
      <c r="Q47" s="815"/>
      <c r="R47" s="89" t="s">
        <v>315</v>
      </c>
      <c r="S47" s="729">
        <f>T17</f>
        <v>52.80709301639255</v>
      </c>
    </row>
    <row r="48" spans="17:19" ht="15" thickBot="1" x14ac:dyDescent="0.4">
      <c r="Q48" s="816"/>
      <c r="R48" s="645" t="s">
        <v>316</v>
      </c>
      <c r="S48" s="731">
        <f t="shared" ref="S48:S55" si="3">T18</f>
        <v>7.0919102040434492</v>
      </c>
    </row>
    <row r="49" spans="17:19" ht="15" thickBot="1" x14ac:dyDescent="0.4">
      <c r="Q49" s="654" t="s">
        <v>18</v>
      </c>
      <c r="R49" s="646" t="s">
        <v>317</v>
      </c>
      <c r="S49" s="733">
        <f t="shared" si="3"/>
        <v>13.64373443683872</v>
      </c>
    </row>
    <row r="50" spans="17:19" x14ac:dyDescent="0.35">
      <c r="Q50" s="817" t="s">
        <v>54</v>
      </c>
      <c r="R50" s="644" t="s">
        <v>318</v>
      </c>
      <c r="S50" s="727">
        <f t="shared" si="3"/>
        <v>0.8930501495645552</v>
      </c>
    </row>
    <row r="51" spans="17:19" x14ac:dyDescent="0.35">
      <c r="Q51" s="818"/>
      <c r="R51" s="89" t="s">
        <v>319</v>
      </c>
      <c r="S51" s="729">
        <f t="shared" si="3"/>
        <v>1.9613725455141999</v>
      </c>
    </row>
    <row r="52" spans="17:19" ht="15" thickBot="1" x14ac:dyDescent="0.4">
      <c r="Q52" s="819"/>
      <c r="R52" s="647" t="s">
        <v>320</v>
      </c>
      <c r="S52" s="731">
        <f t="shared" si="3"/>
        <v>0.64105913198122</v>
      </c>
    </row>
    <row r="53" spans="17:19" x14ac:dyDescent="0.35">
      <c r="Q53" s="817" t="s">
        <v>58</v>
      </c>
      <c r="R53" s="644" t="s">
        <v>321</v>
      </c>
      <c r="S53" s="727">
        <f t="shared" si="3"/>
        <v>-0.21808908336713737</v>
      </c>
    </row>
    <row r="54" spans="17:19" ht="15" thickBot="1" x14ac:dyDescent="0.4">
      <c r="Q54" s="819"/>
      <c r="R54" s="647" t="s">
        <v>322</v>
      </c>
      <c r="S54" s="731">
        <f t="shared" si="3"/>
        <v>1.3849051541217556</v>
      </c>
    </row>
    <row r="55" spans="17:19" ht="15" thickBot="1" x14ac:dyDescent="0.4">
      <c r="Q55" s="820" t="s">
        <v>323</v>
      </c>
      <c r="R55" s="821"/>
      <c r="S55" s="735">
        <f t="shared" si="3"/>
        <v>113.11558995371524</v>
      </c>
    </row>
  </sheetData>
  <mergeCells count="14">
    <mergeCell ref="Q16:Q18"/>
    <mergeCell ref="Q20:Q22"/>
    <mergeCell ref="Q23:Q24"/>
    <mergeCell ref="Q25:R25"/>
    <mergeCell ref="R8:S8"/>
    <mergeCell ref="R9:S9"/>
    <mergeCell ref="R11:S11"/>
    <mergeCell ref="R10:S10"/>
    <mergeCell ref="S44:S45"/>
    <mergeCell ref="Q46:Q48"/>
    <mergeCell ref="Q50:Q52"/>
    <mergeCell ref="Q53:Q54"/>
    <mergeCell ref="Q55:R55"/>
    <mergeCell ref="R44:R45"/>
  </mergeCell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67FB3-5C3B-415F-88FF-4AA4C3A34D6F}">
  <sheetPr codeName="Sheet8">
    <tabColor rgb="FF7030A0"/>
  </sheetPr>
  <dimension ref="B1:P26"/>
  <sheetViews>
    <sheetView tabSelected="1" topLeftCell="A11" workbookViewId="0">
      <selection activeCell="C12" sqref="C12"/>
    </sheetView>
  </sheetViews>
  <sheetFormatPr defaultRowHeight="14.5" x14ac:dyDescent="0.35"/>
  <cols>
    <col min="2" max="3" width="23.453125" customWidth="1"/>
    <col min="4" max="4" width="24.1796875" customWidth="1"/>
    <col min="5" max="5" width="14.453125" customWidth="1"/>
    <col min="6" max="6" width="16.453125" customWidth="1"/>
    <col min="7" max="7" width="16.1796875" customWidth="1"/>
    <col min="11" max="11" width="11" customWidth="1"/>
    <col min="13" max="13" width="11.453125" customWidth="1"/>
    <col min="14" max="14" width="12.1796875" customWidth="1"/>
  </cols>
  <sheetData>
    <row r="1" spans="2:16" ht="15.5" x14ac:dyDescent="0.35">
      <c r="B1" s="26" t="s">
        <v>14</v>
      </c>
    </row>
    <row r="2" spans="2:16" ht="86.5" customHeight="1" x14ac:dyDescent="0.35">
      <c r="B2" s="786" t="s">
        <v>328</v>
      </c>
      <c r="C2" s="786"/>
      <c r="D2" s="786"/>
      <c r="E2" s="786"/>
      <c r="F2" s="786"/>
    </row>
    <row r="3" spans="2:16" ht="40.4" customHeight="1" x14ac:dyDescent="0.35">
      <c r="B3" s="91" t="s">
        <v>35</v>
      </c>
      <c r="C3" s="91" t="s">
        <v>329</v>
      </c>
      <c r="D3" s="91" t="s">
        <v>330</v>
      </c>
      <c r="E3" s="91" t="s">
        <v>331</v>
      </c>
      <c r="F3" s="91" t="s">
        <v>332</v>
      </c>
      <c r="G3" s="319" t="s">
        <v>333</v>
      </c>
      <c r="K3" s="91" t="s">
        <v>35</v>
      </c>
      <c r="L3" s="91" t="s">
        <v>334</v>
      </c>
      <c r="M3" s="91" t="s">
        <v>330</v>
      </c>
      <c r="N3" s="91" t="s">
        <v>331</v>
      </c>
      <c r="O3" s="91" t="s">
        <v>332</v>
      </c>
    </row>
    <row r="4" spans="2:16" ht="23" x14ac:dyDescent="0.35">
      <c r="B4" s="92" t="s">
        <v>335</v>
      </c>
      <c r="C4" s="168"/>
      <c r="D4" s="168" t="s">
        <v>336</v>
      </c>
      <c r="E4" s="169">
        <f>BCA!D58/1000000</f>
        <v>81.729658921728984</v>
      </c>
      <c r="F4" s="781">
        <f>BCA!D57</f>
        <v>3.6040221282088489</v>
      </c>
      <c r="G4" s="14" t="b">
        <f>F4=O4</f>
        <v>1</v>
      </c>
      <c r="H4" s="153"/>
      <c r="I4" s="145"/>
      <c r="K4" s="92" t="s">
        <v>337</v>
      </c>
      <c r="L4" s="92"/>
      <c r="M4" s="168" t="s">
        <v>336</v>
      </c>
      <c r="N4" s="169">
        <v>81.729658921728984</v>
      </c>
      <c r="O4" s="782">
        <v>3.6040221282088489</v>
      </c>
    </row>
    <row r="5" spans="2:16" x14ac:dyDescent="0.35">
      <c r="B5" s="93" t="s">
        <v>338</v>
      </c>
      <c r="C5" s="93" t="s">
        <v>339</v>
      </c>
      <c r="D5" s="738" t="s">
        <v>340</v>
      </c>
      <c r="E5" s="680">
        <v>194.56084872264296</v>
      </c>
      <c r="F5" s="681">
        <v>6.0049696028010846</v>
      </c>
    </row>
    <row r="6" spans="2:16" ht="25" x14ac:dyDescent="0.35">
      <c r="B6" s="785" t="s">
        <v>341</v>
      </c>
      <c r="C6" s="93" t="s">
        <v>339</v>
      </c>
      <c r="D6" s="738" t="s">
        <v>342</v>
      </c>
      <c r="E6" s="682">
        <v>78.591065818530367</v>
      </c>
      <c r="F6" s="681">
        <v>3.2763837529171354</v>
      </c>
      <c r="L6" s="312" t="s">
        <v>343</v>
      </c>
    </row>
    <row r="7" spans="2:16" ht="50" x14ac:dyDescent="0.35">
      <c r="B7" s="785"/>
      <c r="C7" s="93" t="s">
        <v>339</v>
      </c>
      <c r="D7" s="738" t="s">
        <v>344</v>
      </c>
      <c r="E7" s="318">
        <v>84.868252024927628</v>
      </c>
      <c r="F7" s="681">
        <v>4.0044690313431657</v>
      </c>
      <c r="K7" s="744" t="s">
        <v>35</v>
      </c>
      <c r="L7" s="744" t="s">
        <v>334</v>
      </c>
      <c r="M7" s="744" t="s">
        <v>330</v>
      </c>
      <c r="N7" s="744" t="s">
        <v>331</v>
      </c>
      <c r="O7" s="744" t="s">
        <v>332</v>
      </c>
      <c r="P7" s="307" t="s">
        <v>345</v>
      </c>
    </row>
    <row r="8" spans="2:16" ht="78.650000000000006" customHeight="1" x14ac:dyDescent="0.35">
      <c r="B8" s="785" t="s">
        <v>346</v>
      </c>
      <c r="C8" s="93" t="s">
        <v>339</v>
      </c>
      <c r="D8" s="87" t="s">
        <v>347</v>
      </c>
      <c r="E8" s="682">
        <v>56.387040662415572</v>
      </c>
      <c r="F8" s="681">
        <v>2.7965705909743455</v>
      </c>
      <c r="K8" s="313" t="str">
        <f>_xlfn.XLOOKUP(L6,$C$5:$C$10,$B$5:$B$10,"Base")</f>
        <v>Base</v>
      </c>
      <c r="L8" s="308"/>
      <c r="M8" s="308" t="s">
        <v>348</v>
      </c>
      <c r="N8" s="309">
        <f>E4</f>
        <v>81.729658921728984</v>
      </c>
      <c r="O8" s="310">
        <f>F4</f>
        <v>3.6040221282088489</v>
      </c>
      <c r="P8" s="311" t="b">
        <f>O8=O4</f>
        <v>1</v>
      </c>
    </row>
    <row r="9" spans="2:16" x14ac:dyDescent="0.35">
      <c r="B9" s="785"/>
      <c r="C9" s="93" t="s">
        <v>339</v>
      </c>
      <c r="D9" s="87" t="s">
        <v>349</v>
      </c>
      <c r="E9" s="318">
        <v>37.868308224187196</v>
      </c>
      <c r="F9" s="681">
        <v>2.2065376740168894</v>
      </c>
    </row>
    <row r="10" spans="2:16" ht="25" x14ac:dyDescent="0.35">
      <c r="B10" s="785" t="s">
        <v>350</v>
      </c>
      <c r="C10" s="93" t="s">
        <v>339</v>
      </c>
      <c r="D10" s="738" t="s">
        <v>351</v>
      </c>
      <c r="E10" s="682">
        <v>137.70404586320925</v>
      </c>
      <c r="F10" s="681">
        <v>5.3874449900138828</v>
      </c>
    </row>
    <row r="11" spans="2:16" ht="25" x14ac:dyDescent="0.35">
      <c r="B11" s="785"/>
      <c r="C11" s="93" t="s">
        <v>339</v>
      </c>
      <c r="D11" s="738" t="s">
        <v>352</v>
      </c>
      <c r="E11" s="318">
        <v>25.755271980248615</v>
      </c>
      <c r="F11" s="681">
        <v>1.820599266403814</v>
      </c>
    </row>
    <row r="15" spans="2:16" x14ac:dyDescent="0.35">
      <c r="M15" s="302">
        <v>46377</v>
      </c>
      <c r="N15" s="302">
        <v>46384</v>
      </c>
      <c r="O15" s="302">
        <v>46026</v>
      </c>
      <c r="P15" s="302">
        <v>46033</v>
      </c>
    </row>
    <row r="16" spans="2:16" x14ac:dyDescent="0.35">
      <c r="M16" s="303">
        <v>2</v>
      </c>
      <c r="N16" s="303">
        <v>0</v>
      </c>
      <c r="O16" s="303">
        <v>6</v>
      </c>
      <c r="P16" s="303">
        <v>6</v>
      </c>
    </row>
    <row r="17" spans="2:5" x14ac:dyDescent="0.35">
      <c r="B17" s="51" t="s">
        <v>1100</v>
      </c>
    </row>
    <row r="18" spans="2:5" ht="25" x14ac:dyDescent="0.35">
      <c r="B18" s="91" t="s">
        <v>35</v>
      </c>
      <c r="C18" s="91" t="s">
        <v>330</v>
      </c>
      <c r="D18" s="91" t="s">
        <v>331</v>
      </c>
      <c r="E18" s="91" t="s">
        <v>332</v>
      </c>
    </row>
    <row r="19" spans="2:5" x14ac:dyDescent="0.35">
      <c r="B19" s="92" t="s">
        <v>335</v>
      </c>
      <c r="C19" s="168" t="s">
        <v>336</v>
      </c>
      <c r="D19" s="169">
        <v>81.729658921728984</v>
      </c>
      <c r="E19" s="306">
        <v>3.6040221282088489</v>
      </c>
    </row>
    <row r="20" spans="2:5" x14ac:dyDescent="0.35">
      <c r="B20" s="93" t="s">
        <v>338</v>
      </c>
      <c r="C20" s="93" t="s">
        <v>340</v>
      </c>
      <c r="D20" s="680">
        <v>194.56084872264296</v>
      </c>
      <c r="E20" s="681">
        <v>6.0049696028010846</v>
      </c>
    </row>
    <row r="21" spans="2:5" ht="25" x14ac:dyDescent="0.35">
      <c r="B21" s="785" t="s">
        <v>341</v>
      </c>
      <c r="C21" s="93" t="s">
        <v>342</v>
      </c>
      <c r="D21" s="682">
        <v>78.591065818530367</v>
      </c>
      <c r="E21" s="681">
        <v>3.2763837529171354</v>
      </c>
    </row>
    <row r="22" spans="2:5" ht="25" x14ac:dyDescent="0.35">
      <c r="B22" s="785"/>
      <c r="C22" s="93" t="s">
        <v>344</v>
      </c>
      <c r="D22" s="318">
        <v>84.868252024927628</v>
      </c>
      <c r="E22" s="681">
        <v>4.0044690313431657</v>
      </c>
    </row>
    <row r="23" spans="2:5" x14ac:dyDescent="0.35">
      <c r="B23" s="785" t="s">
        <v>346</v>
      </c>
      <c r="C23" s="707" t="s">
        <v>347</v>
      </c>
      <c r="D23" s="682">
        <v>56.387040662415572</v>
      </c>
      <c r="E23" s="681">
        <v>2.7965705909743455</v>
      </c>
    </row>
    <row r="24" spans="2:5" x14ac:dyDescent="0.35">
      <c r="B24" s="785"/>
      <c r="C24" s="707" t="s">
        <v>349</v>
      </c>
      <c r="D24" s="318">
        <v>37.868308224187196</v>
      </c>
      <c r="E24" s="681">
        <v>2.2065376740168894</v>
      </c>
    </row>
    <row r="25" spans="2:5" ht="25" x14ac:dyDescent="0.35">
      <c r="B25" s="785" t="s">
        <v>350</v>
      </c>
      <c r="C25" s="93" t="s">
        <v>351</v>
      </c>
      <c r="D25" s="682">
        <v>137.70404586320925</v>
      </c>
      <c r="E25" s="681">
        <v>5.3874449900138828</v>
      </c>
    </row>
    <row r="26" spans="2:5" ht="25" x14ac:dyDescent="0.35">
      <c r="B26" s="785"/>
      <c r="C26" s="93" t="s">
        <v>352</v>
      </c>
      <c r="D26" s="318">
        <v>25.755271980248615</v>
      </c>
      <c r="E26" s="681">
        <v>1.820599266403814</v>
      </c>
    </row>
  </sheetData>
  <mergeCells count="7">
    <mergeCell ref="B23:B24"/>
    <mergeCell ref="B25:B26"/>
    <mergeCell ref="B6:B7"/>
    <mergeCell ref="B2:F2"/>
    <mergeCell ref="B8:B9"/>
    <mergeCell ref="B10:B11"/>
    <mergeCell ref="B21:B22"/>
  </mergeCells>
  <phoneticPr fontId="26" type="noConversion"/>
  <dataValidations count="1">
    <dataValidation type="custom" allowBlank="1" showInputMessage="1" showErrorMessage="1" sqref="C5:C11" xr:uid="{7A5E2224-FA7C-482A-A778-226557CF41A2}">
      <formula1>COUNTIF($C$5:$C$10,"Yes")&lt;=1</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8A1A8-6DB9-4B87-80BB-277F8807D111}">
  <sheetPr codeName="Sheet11">
    <tabColor theme="7" tint="-0.249977111117893"/>
  </sheetPr>
  <dimension ref="A1:AD14"/>
  <sheetViews>
    <sheetView topLeftCell="P1" workbookViewId="0">
      <selection activeCell="T11" sqref="T11"/>
    </sheetView>
  </sheetViews>
  <sheetFormatPr defaultColWidth="8.54296875" defaultRowHeight="14.5" x14ac:dyDescent="0.35"/>
  <cols>
    <col min="1" max="1" width="35.453125" customWidth="1"/>
    <col min="2" max="3" width="7.54296875" customWidth="1"/>
    <col min="4" max="7" width="11.54296875" style="346" customWidth="1"/>
    <col min="8" max="8" width="13.453125" style="18" customWidth="1"/>
    <col min="9" max="9" width="13.54296875" customWidth="1"/>
    <col min="10" max="11" width="13" style="347" customWidth="1"/>
    <col min="12" max="12" width="14.81640625" customWidth="1"/>
    <col min="13" max="13" width="19" customWidth="1"/>
    <col min="14" max="14" width="19" style="347" customWidth="1"/>
    <col min="15" max="19" width="19" customWidth="1"/>
    <col min="20" max="20" width="13.54296875" customWidth="1"/>
    <col min="21" max="21" width="14" customWidth="1"/>
    <col min="22" max="22" width="13.453125" customWidth="1"/>
    <col min="23" max="24" width="14" customWidth="1"/>
    <col min="25" max="30" width="14.54296875" customWidth="1"/>
    <col min="31" max="31" width="15.453125" customWidth="1"/>
  </cols>
  <sheetData>
    <row r="1" spans="1:30" x14ac:dyDescent="0.35">
      <c r="A1" s="662" t="s">
        <v>353</v>
      </c>
      <c r="B1" s="663">
        <f>Inputs!$D$25</f>
        <v>19</v>
      </c>
      <c r="L1" t="s">
        <v>354</v>
      </c>
    </row>
    <row r="2" spans="1:30" x14ac:dyDescent="0.35">
      <c r="A2" s="664" t="str">
        <f>Inputs!B51</f>
        <v>Montgomery Rail Corridor Distance</v>
      </c>
      <c r="B2" s="665">
        <f>Inputs!$D$51</f>
        <v>165</v>
      </c>
      <c r="L2" t="s">
        <v>355</v>
      </c>
      <c r="M2" t="s">
        <v>356</v>
      </c>
    </row>
    <row r="3" spans="1:30" x14ac:dyDescent="0.35">
      <c r="A3" s="664" t="str">
        <f>Inputs!B50</f>
        <v>Diversion Probability</v>
      </c>
      <c r="B3" s="666">
        <f>Inputs!$D$50</f>
        <v>0.2</v>
      </c>
      <c r="D3" s="346" t="s">
        <v>357</v>
      </c>
      <c r="E3" s="346" t="s">
        <v>358</v>
      </c>
      <c r="F3" s="346" t="s">
        <v>357</v>
      </c>
      <c r="G3" s="346" t="s">
        <v>358</v>
      </c>
      <c r="H3" s="18" t="s">
        <v>359</v>
      </c>
      <c r="I3" s="346" t="s">
        <v>359</v>
      </c>
      <c r="J3" s="347" t="s">
        <v>360</v>
      </c>
      <c r="K3" s="347" t="s">
        <v>361</v>
      </c>
      <c r="L3" t="s">
        <v>362</v>
      </c>
      <c r="M3" t="s">
        <v>362</v>
      </c>
      <c r="N3" s="347" t="s">
        <v>363</v>
      </c>
      <c r="W3" t="s">
        <v>356</v>
      </c>
      <c r="X3" t="s">
        <v>356</v>
      </c>
    </row>
    <row r="4" spans="1:30" ht="15" thickBot="1" x14ac:dyDescent="0.4">
      <c r="A4" s="664" t="str">
        <f>Inputs!B53</f>
        <v>Drayage Truck Miles Addition</v>
      </c>
      <c r="B4" s="665">
        <f>Inputs!D53</f>
        <v>35</v>
      </c>
      <c r="C4" s="55"/>
      <c r="D4" s="18">
        <v>1</v>
      </c>
      <c r="E4" s="348">
        <f>D4+1</f>
        <v>2</v>
      </c>
      <c r="F4" s="348">
        <f t="shared" ref="F4:Q4" si="0">E4+1</f>
        <v>3</v>
      </c>
      <c r="G4" s="348">
        <f t="shared" si="0"/>
        <v>4</v>
      </c>
      <c r="H4" s="348">
        <f t="shared" si="0"/>
        <v>5</v>
      </c>
      <c r="I4" s="348">
        <f t="shared" si="0"/>
        <v>6</v>
      </c>
      <c r="J4" s="348">
        <f t="shared" si="0"/>
        <v>7</v>
      </c>
      <c r="K4" s="348">
        <f t="shared" si="0"/>
        <v>8</v>
      </c>
      <c r="L4" s="348">
        <f t="shared" si="0"/>
        <v>9</v>
      </c>
      <c r="M4" s="348">
        <f t="shared" si="0"/>
        <v>10</v>
      </c>
      <c r="N4" s="348">
        <f t="shared" si="0"/>
        <v>11</v>
      </c>
      <c r="O4" s="348">
        <f t="shared" si="0"/>
        <v>12</v>
      </c>
      <c r="P4" s="348">
        <f t="shared" si="0"/>
        <v>13</v>
      </c>
      <c r="Q4" s="348">
        <f t="shared" si="0"/>
        <v>14</v>
      </c>
      <c r="R4">
        <v>15</v>
      </c>
      <c r="S4">
        <v>16</v>
      </c>
      <c r="T4">
        <v>17</v>
      </c>
      <c r="U4">
        <v>18</v>
      </c>
      <c r="V4">
        <f>U4+1</f>
        <v>19</v>
      </c>
      <c r="W4">
        <f t="shared" ref="W4:AD4" si="1">V4+1</f>
        <v>20</v>
      </c>
      <c r="X4">
        <f t="shared" si="1"/>
        <v>21</v>
      </c>
      <c r="Y4">
        <f t="shared" si="1"/>
        <v>22</v>
      </c>
      <c r="Z4">
        <f t="shared" si="1"/>
        <v>23</v>
      </c>
      <c r="AA4">
        <f t="shared" si="1"/>
        <v>24</v>
      </c>
      <c r="AB4">
        <f t="shared" si="1"/>
        <v>25</v>
      </c>
      <c r="AC4">
        <f t="shared" si="1"/>
        <v>26</v>
      </c>
      <c r="AD4">
        <f t="shared" si="1"/>
        <v>27</v>
      </c>
    </row>
    <row r="5" spans="1:30" ht="58.5" thickBot="1" x14ac:dyDescent="0.4">
      <c r="A5" s="667" t="str">
        <f>Inputs!B49</f>
        <v>Empty Container Factor</v>
      </c>
      <c r="B5" s="668">
        <f>Inputs!$D$49</f>
        <v>0.21</v>
      </c>
      <c r="D5" s="832" t="s">
        <v>364</v>
      </c>
      <c r="E5" s="833"/>
      <c r="F5" s="834" t="s">
        <v>365</v>
      </c>
      <c r="G5" s="835"/>
      <c r="H5" s="832" t="s">
        <v>366</v>
      </c>
      <c r="I5" s="833"/>
      <c r="J5" s="349" t="s">
        <v>367</v>
      </c>
      <c r="K5" s="350" t="s">
        <v>368</v>
      </c>
      <c r="L5" s="350" t="s">
        <v>369</v>
      </c>
      <c r="M5" s="350" t="s">
        <v>370</v>
      </c>
      <c r="N5" s="349" t="s">
        <v>371</v>
      </c>
      <c r="O5" s="351" t="s">
        <v>372</v>
      </c>
      <c r="P5" s="352" t="s">
        <v>373</v>
      </c>
      <c r="Q5" s="352" t="s">
        <v>374</v>
      </c>
      <c r="R5" s="353" t="s">
        <v>375</v>
      </c>
      <c r="S5" s="353" t="s">
        <v>376</v>
      </c>
      <c r="T5" s="353" t="s">
        <v>1097</v>
      </c>
      <c r="U5" s="353" t="s">
        <v>1098</v>
      </c>
      <c r="V5" s="354" t="s">
        <v>377</v>
      </c>
      <c r="W5" s="354" t="s">
        <v>378</v>
      </c>
      <c r="X5" s="354" t="s">
        <v>379</v>
      </c>
      <c r="Y5" s="349" t="s">
        <v>380</v>
      </c>
      <c r="Z5" s="350" t="s">
        <v>381</v>
      </c>
      <c r="AA5" s="350" t="s">
        <v>382</v>
      </c>
      <c r="AB5" s="350" t="s">
        <v>383</v>
      </c>
      <c r="AC5" s="349" t="s">
        <v>384</v>
      </c>
      <c r="AD5" s="351" t="s">
        <v>385</v>
      </c>
    </row>
    <row r="6" spans="1:30" ht="130.75" customHeight="1" thickBot="1" x14ac:dyDescent="0.4">
      <c r="A6" t="s">
        <v>386</v>
      </c>
      <c r="D6" s="355" t="s">
        <v>387</v>
      </c>
      <c r="E6" s="355" t="s">
        <v>388</v>
      </c>
      <c r="F6" s="355" t="s">
        <v>387</v>
      </c>
      <c r="G6" s="355" t="s">
        <v>388</v>
      </c>
      <c r="H6" s="356" t="s">
        <v>389</v>
      </c>
      <c r="I6" s="670" t="s">
        <v>390</v>
      </c>
      <c r="J6" s="357" t="s">
        <v>391</v>
      </c>
      <c r="K6" s="671" t="s">
        <v>392</v>
      </c>
      <c r="L6" s="671" t="s">
        <v>393</v>
      </c>
      <c r="M6" s="357" t="s">
        <v>393</v>
      </c>
      <c r="N6" s="357" t="s">
        <v>394</v>
      </c>
      <c r="O6" s="358" t="s">
        <v>394</v>
      </c>
      <c r="P6" s="359" t="s">
        <v>395</v>
      </c>
      <c r="Q6" s="360" t="s">
        <v>395</v>
      </c>
      <c r="R6" s="361" t="s">
        <v>396</v>
      </c>
      <c r="S6" s="361" t="s">
        <v>397</v>
      </c>
      <c r="T6" s="361" t="s">
        <v>1095</v>
      </c>
      <c r="U6" s="361" t="s">
        <v>1099</v>
      </c>
      <c r="V6" s="362" t="s">
        <v>398</v>
      </c>
      <c r="W6" s="363" t="s">
        <v>399</v>
      </c>
      <c r="X6" s="363" t="s">
        <v>400</v>
      </c>
      <c r="Y6" s="357" t="s">
        <v>401</v>
      </c>
      <c r="Z6" s="357" t="s">
        <v>402</v>
      </c>
      <c r="AA6" s="357" t="s">
        <v>403</v>
      </c>
      <c r="AB6" s="357" t="s">
        <v>403</v>
      </c>
      <c r="AC6" s="357" t="s">
        <v>394</v>
      </c>
      <c r="AD6" s="358" t="s">
        <v>394</v>
      </c>
    </row>
    <row r="7" spans="1:30" x14ac:dyDescent="0.35">
      <c r="A7" t="s">
        <v>404</v>
      </c>
      <c r="B7" t="s">
        <v>405</v>
      </c>
      <c r="D7" s="346" cm="1">
        <f t="array" ref="D7">IFERROR(INDEX('Truck FAF Data'!I$19:I$50,MATCH($B12,'Truck FAF Data'!$D$19:$D$50,0),),0)</f>
        <v>651.1599020000001</v>
      </c>
      <c r="E7" s="346" cm="1">
        <f t="array" ref="E7">IFERROR(INDEX('Truck FAF Data'!J$19:J$50,MATCH($B12,'Truck FAF Data'!$D$19:$D$50,0),),0)</f>
        <v>163.74747499999998</v>
      </c>
      <c r="F7" s="346" cm="1">
        <f t="array" ref="F7">IFERROR(INDEX('Rail FAF Data'!I$19:I$136,MATCH($B12,'Rail FAF Data'!$D$19:$D$136,0),),0)</f>
        <v>69.811936000000017</v>
      </c>
      <c r="G7" s="346" cm="1">
        <f t="array" ref="G7">IFERROR(INDEX('Rail FAF Data'!J$19:J$136,MATCH($B12,'Rail FAF Data'!$D$19:$D$136,0),),0)</f>
        <v>19.683637000000008</v>
      </c>
      <c r="H7" s="67">
        <f>E7*1000/D7</f>
        <v>251.47045218395519</v>
      </c>
      <c r="I7" s="67">
        <f>G7*1000/F7</f>
        <v>281.95231543213475</v>
      </c>
      <c r="J7" s="364">
        <f>(D7*1000/$B$1)</f>
        <v>34271.573789473689</v>
      </c>
      <c r="K7" s="669">
        <f>IF(F7*1000/$B$1&gt;=1,F7*1000/$B$1,IF(F7*1000/$B$1&gt;=$B$5,1,0))</f>
        <v>3674.3124210526325</v>
      </c>
      <c r="L7" s="74">
        <f t="shared" ref="L7:M9" si="2">H7*J7</f>
        <v>8618288.1578947343</v>
      </c>
      <c r="M7" s="74">
        <f t="shared" si="2"/>
        <v>1035980.8947368426</v>
      </c>
      <c r="N7" s="365">
        <f>J7+K7</f>
        <v>37945.886210526318</v>
      </c>
      <c r="O7" s="74">
        <f>(M7+L7)</f>
        <v>9654269.0526315775</v>
      </c>
      <c r="P7" s="46">
        <f>J7/Inputs!$D$7</f>
        <v>133.8733351151316</v>
      </c>
      <c r="Q7" s="46">
        <f>K7/Inputs!$D$7</f>
        <v>14.352782894736846</v>
      </c>
      <c r="R7" s="18"/>
      <c r="S7" s="18"/>
      <c r="T7" s="564">
        <v>31700</v>
      </c>
      <c r="U7" s="67">
        <f>T7*342</f>
        <v>10841400</v>
      </c>
      <c r="V7" s="67">
        <f>J7*Inputs!$D$50</f>
        <v>6854.3147578947382</v>
      </c>
      <c r="W7" s="67">
        <f>L7*Inputs!$D$50</f>
        <v>1723657.631578947</v>
      </c>
      <c r="X7" s="67"/>
      <c r="Y7" s="366">
        <f>J7-V7</f>
        <v>27417.259031578949</v>
      </c>
      <c r="Z7" s="366">
        <f>K7+V7</f>
        <v>10528.62717894737</v>
      </c>
      <c r="AA7" s="18">
        <f>L7-W7</f>
        <v>6894630.5263157878</v>
      </c>
      <c r="AB7" s="18">
        <f>M7+W7</f>
        <v>2759638.5263157897</v>
      </c>
      <c r="AC7" s="164">
        <f>Y7+Z7</f>
        <v>37945.886210526318</v>
      </c>
      <c r="AD7" s="164">
        <f>AA7+AB7</f>
        <v>9654269.0526315775</v>
      </c>
    </row>
    <row r="8" spans="1:30" ht="15" thickBot="1" x14ac:dyDescent="0.4">
      <c r="A8" t="s">
        <v>406</v>
      </c>
      <c r="B8" t="s">
        <v>405</v>
      </c>
      <c r="D8" s="346" cm="1">
        <f t="array" ref="D8">IFERROR(INDEX('Truck FAF Data'!I$19:I$50,MATCH($B13,'Truck FAF Data'!$D$19:$D$50,0),),0)</f>
        <v>434.88530500000019</v>
      </c>
      <c r="E8" s="346" cm="1">
        <f t="array" ref="E8">IFERROR(INDEX('Truck FAF Data'!J$19:J$50,MATCH($B13,'Truck FAF Data'!$D$19:$D$50,0),),0)</f>
        <v>8.8315090000000041</v>
      </c>
      <c r="F8" s="346" cm="1">
        <f t="array" ref="F8">IFERROR(INDEX('Rail FAF Data'!I$19:I$136,MATCH($B13,'Rail FAF Data'!$D$19:$D$136,0),),0)</f>
        <v>54.841759000000003</v>
      </c>
      <c r="G8" s="346" cm="1">
        <f t="array" ref="G8">IFERROR(INDEX('Rail FAF Data'!J$19:J$136,MATCH($B13,'Rail FAF Data'!$D$19:$D$136,0),),0)</f>
        <v>1.2018310000000003</v>
      </c>
      <c r="H8" s="18">
        <f>E8*1000/D8</f>
        <v>20.307673996940412</v>
      </c>
      <c r="I8" s="18">
        <f>G8*1000/F8</f>
        <v>21.914523201197838</v>
      </c>
      <c r="J8" s="364">
        <f>(D8*1000/$B$1)</f>
        <v>22888.700263157905</v>
      </c>
      <c r="K8" s="669">
        <f>IF(F8*1000/$B$1&gt;=1,F8*1000/$B$1,IF(F8*1000/$B$1&gt;=$B$5,1,0))</f>
        <v>2886.4083684210527</v>
      </c>
      <c r="L8" s="74">
        <f t="shared" si="2"/>
        <v>464816.26315789495</v>
      </c>
      <c r="M8" s="74">
        <f t="shared" si="2"/>
        <v>63254.263157894755</v>
      </c>
      <c r="N8" s="364">
        <f>J8+K8</f>
        <v>25775.108631578958</v>
      </c>
      <c r="O8" s="74">
        <f>(M8+L8)</f>
        <v>528070.52631578967</v>
      </c>
      <c r="P8" s="46">
        <f>J8/Inputs!$D$7</f>
        <v>89.408985402960568</v>
      </c>
      <c r="Q8" s="46">
        <f>K8/Inputs!$D$7</f>
        <v>11.275032689144737</v>
      </c>
      <c r="R8" s="562" t="s">
        <v>407</v>
      </c>
      <c r="S8" s="562" t="s">
        <v>407</v>
      </c>
      <c r="T8" s="562" t="s">
        <v>407</v>
      </c>
      <c r="U8" s="562" t="s">
        <v>407</v>
      </c>
      <c r="V8" s="562" t="s">
        <v>407</v>
      </c>
      <c r="W8" s="562" t="s">
        <v>407</v>
      </c>
      <c r="X8" s="562"/>
      <c r="Y8" s="563" t="s">
        <v>407</v>
      </c>
      <c r="Z8" s="563" t="s">
        <v>407</v>
      </c>
      <c r="AA8" s="564" t="s">
        <v>407</v>
      </c>
      <c r="AB8" s="564" t="s">
        <v>407</v>
      </c>
      <c r="AC8" s="164">
        <f>N8</f>
        <v>25775.108631578958</v>
      </c>
      <c r="AD8" s="164">
        <f>O8</f>
        <v>528070.52631578967</v>
      </c>
    </row>
    <row r="9" spans="1:30" s="641" customFormat="1" ht="36" customHeight="1" thickBot="1" x14ac:dyDescent="0.4">
      <c r="A9" s="632" t="s">
        <v>408</v>
      </c>
      <c r="B9" s="633" t="s">
        <v>405</v>
      </c>
      <c r="C9" s="633"/>
      <c r="D9" s="683" cm="1">
        <f t="array" ref="D9">IFERROR(INDEX('Truck FAF Data'!I$19:I$50,MATCH($B14,'Truck FAF Data'!$D$19:$D$50,0),),0)</f>
        <v>2227.0689240000011</v>
      </c>
      <c r="E9" s="683" cm="1">
        <f t="array" ref="E9">IFERROR(INDEX('Truck FAF Data'!J$19:J$50,MATCH($B14,'Truck FAF Data'!$D$19:$D$50,0),),0)</f>
        <v>446.92813299999995</v>
      </c>
      <c r="F9" s="683" cm="1">
        <f t="array" ref="F9">IFERROR(INDEX('Rail FAF Data'!I$19:I$136,MATCH($B14,'Rail FAF Data'!$D$19:$D$136,0),),0)</f>
        <v>293.84453099999996</v>
      </c>
      <c r="G9" s="683" cm="1">
        <f t="array" ref="G9">IFERROR(INDEX('Rail FAF Data'!J$19:J$136,MATCH($B14,'Rail FAF Data'!$D$19:$D$136,0),),0)</f>
        <v>76.14509300000006</v>
      </c>
      <c r="H9" s="634">
        <f>IFERROR(E9*1000/D9,0)</f>
        <v>200.67997365671101</v>
      </c>
      <c r="I9" s="634">
        <f>IFERROR(G9*1000/F9,0)</f>
        <v>259.13394658347437</v>
      </c>
      <c r="J9" s="634">
        <f>(D9*1000/$B$1)</f>
        <v>117214.1538947369</v>
      </c>
      <c r="K9" s="634">
        <f>IF(F9*1000/$B$1&gt;=1,F9*1000/$B$1,IF(F9*1000/$B$1&gt;=$B$5,1,0))</f>
        <v>15465.501631578945</v>
      </c>
      <c r="L9" s="635">
        <f t="shared" si="2"/>
        <v>23522533.315789472</v>
      </c>
      <c r="M9" s="635">
        <f>I9*K9</f>
        <v>4007636.4736842141</v>
      </c>
      <c r="N9" s="636">
        <f>J9+K9</f>
        <v>132679.65552631585</v>
      </c>
      <c r="O9" s="635">
        <f>(M9+L9)</f>
        <v>27530169.789473686</v>
      </c>
      <c r="P9" s="637">
        <f>J9/Inputs!$D$7</f>
        <v>457.867788651316</v>
      </c>
      <c r="Q9" s="637">
        <f>K9/Inputs!$D$7</f>
        <v>60.412115748355255</v>
      </c>
      <c r="R9" s="638">
        <f>62205</f>
        <v>62205</v>
      </c>
      <c r="S9" s="634">
        <f>$B$2*R9</f>
        <v>10263825</v>
      </c>
      <c r="T9" s="634">
        <v>0</v>
      </c>
      <c r="U9" s="634">
        <v>0</v>
      </c>
      <c r="V9" s="639">
        <f>J9*$B$3</f>
        <v>23442.83077894738</v>
      </c>
      <c r="W9" s="639">
        <f>V9*$B$2</f>
        <v>3868067.0785263176</v>
      </c>
      <c r="X9" s="639">
        <f>V9*$B$4</f>
        <v>820499.07726315828</v>
      </c>
      <c r="Y9" s="634">
        <f>J9-V9</f>
        <v>93771.323115789521</v>
      </c>
      <c r="Z9" s="634">
        <f>K9+V9</f>
        <v>38908.332410526324</v>
      </c>
      <c r="AA9" s="634">
        <f>L9-W9+X9</f>
        <v>20474965.314526312</v>
      </c>
      <c r="AB9" s="634">
        <f>M9+W9</f>
        <v>7875703.5522105321</v>
      </c>
      <c r="AC9" s="639">
        <f>Y9+Z9</f>
        <v>132679.65552631585</v>
      </c>
      <c r="AD9" s="640">
        <f>AA9+AB9</f>
        <v>28350668.866736844</v>
      </c>
    </row>
    <row r="10" spans="1:30" ht="15" thickBot="1" x14ac:dyDescent="0.4">
      <c r="J10" s="367"/>
      <c r="K10" s="367"/>
      <c r="N10" s="367"/>
      <c r="O10" s="368"/>
      <c r="P10" s="368"/>
      <c r="W10" s="46"/>
      <c r="X10" s="74"/>
      <c r="Y10" s="74"/>
      <c r="Z10" s="74"/>
      <c r="AA10" s="74"/>
      <c r="AB10" s="74"/>
      <c r="AC10" s="74"/>
      <c r="AD10" s="74"/>
    </row>
    <row r="11" spans="1:30" x14ac:dyDescent="0.35">
      <c r="A11" s="836" t="s">
        <v>409</v>
      </c>
      <c r="B11" s="837"/>
      <c r="Z11" s="74"/>
      <c r="AB11" s="74"/>
    </row>
    <row r="12" spans="1:30" x14ac:dyDescent="0.35">
      <c r="A12" s="676" t="s">
        <v>404</v>
      </c>
      <c r="B12" s="678">
        <v>11</v>
      </c>
    </row>
    <row r="13" spans="1:30" x14ac:dyDescent="0.35">
      <c r="A13" s="676" t="s">
        <v>406</v>
      </c>
      <c r="B13" s="678">
        <v>12</v>
      </c>
    </row>
    <row r="14" spans="1:30" ht="15" thickBot="1" x14ac:dyDescent="0.4">
      <c r="A14" s="677" t="s">
        <v>408</v>
      </c>
      <c r="B14" s="679">
        <v>19</v>
      </c>
    </row>
  </sheetData>
  <mergeCells count="4">
    <mergeCell ref="D5:E5"/>
    <mergeCell ref="F5:G5"/>
    <mergeCell ref="H5:I5"/>
    <mergeCell ref="A11:B1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1D9BAB94F6174B8354B6EA9B8D42C2" ma:contentTypeVersion="12" ma:contentTypeDescription="Create a new document." ma:contentTypeScope="" ma:versionID="76184ec7d68fc339daa405d7b91c6c02">
  <xsd:schema xmlns:xsd="http://www.w3.org/2001/XMLSchema" xmlns:xs="http://www.w3.org/2001/XMLSchema" xmlns:p="http://schemas.microsoft.com/office/2006/metadata/properties" xmlns:ns2="8529726e-7e73-4f41-8bfb-dbfd33bf6055" xmlns:ns3="2a35d126-e05e-4f0a-94e6-ea7a301d6573" targetNamespace="http://schemas.microsoft.com/office/2006/metadata/properties" ma:root="true" ma:fieldsID="1e10c453cdb69927342e3ac849fa49df" ns2:_="" ns3:_="">
    <xsd:import namespace="8529726e-7e73-4f41-8bfb-dbfd33bf6055"/>
    <xsd:import namespace="2a35d126-e05e-4f0a-94e6-ea7a301d65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29726e-7e73-4f41-8bfb-dbfd33bf6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aa22151-0ae8-410d-904d-08875f2795be"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35d126-e05e-4f0a-94e6-ea7a301d657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3e49775e-2109-4ca0-b26a-46eb1de132ae}" ma:internalName="TaxCatchAll" ma:showField="CatchAllData" ma:web="2a35d126-e05e-4f0a-94e6-ea7a301d65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a35d126-e05e-4f0a-94e6-ea7a301d6573" xsi:nil="true"/>
    <lcf76f155ced4ddcb4097134ff3c332f xmlns="8529726e-7e73-4f41-8bfb-dbfd33bf605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E5BBBB2-E897-4221-B9DB-CA6C724F9D1C}"/>
</file>

<file path=customXml/itemProps2.xml><?xml version="1.0" encoding="utf-8"?>
<ds:datastoreItem xmlns:ds="http://schemas.openxmlformats.org/officeDocument/2006/customXml" ds:itemID="{093724C4-6CD0-49F2-A6BA-5002A4D27A09}">
  <ds:schemaRefs>
    <ds:schemaRef ds:uri="http://schemas.microsoft.com/sharepoint/v3/contenttype/forms"/>
  </ds:schemaRefs>
</ds:datastoreItem>
</file>

<file path=customXml/itemProps3.xml><?xml version="1.0" encoding="utf-8"?>
<ds:datastoreItem xmlns:ds="http://schemas.openxmlformats.org/officeDocument/2006/customXml" ds:itemID="{46F84EDA-E36C-45B0-B858-23F4472A1AC7}">
  <ds:schemaRefs>
    <ds:schemaRef ds:uri="http://schemas.microsoft.com/office/2006/metadata/properties"/>
    <ds:schemaRef ds:uri="http://schemas.microsoft.com/office/infopath/2007/PartnerControls"/>
    <ds:schemaRef ds:uri="http://schemas.microsoft.com/sharepoint/v3"/>
    <ds:schemaRef ds:uri="d35decb4-5d93-40ed-8eb3-9065015dd2f3"/>
  </ds:schemaRefs>
</ds:datastoreItem>
</file>

<file path=docMetadata/LabelInfo.xml><?xml version="1.0" encoding="utf-8"?>
<clbl:labelList xmlns:clbl="http://schemas.microsoft.com/office/2020/mipLabelMetadata">
  <clbl:label id="{5563d9c4-1af6-4d5e-894d-8f5a4315f709}" enabled="1" method="Privileged" siteId="{3667e201-cbdc-48b3-9b42-5d2d3f16e2a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3</vt:i4>
      </vt:variant>
    </vt:vector>
  </HeadingPairs>
  <TitlesOfParts>
    <vt:vector size="25" baseType="lpstr">
      <vt:lpstr>Disclaimer</vt:lpstr>
      <vt:lpstr>Contents</vt:lpstr>
      <vt:lpstr>BCA</vt:lpstr>
      <vt:lpstr>Inputs</vt:lpstr>
      <vt:lpstr>Project Schedule</vt:lpstr>
      <vt:lpstr>Costs</vt:lpstr>
      <vt:lpstr>Summary</vt:lpstr>
      <vt:lpstr>Sensitivity Analysis</vt:lpstr>
      <vt:lpstr>Miles Analysis</vt:lpstr>
      <vt:lpstr>Traffic Calcs</vt:lpstr>
      <vt:lpstr>Mobility Benefits</vt:lpstr>
      <vt:lpstr>Safety</vt:lpstr>
      <vt:lpstr>Env &amp; Comm Benefits</vt:lpstr>
      <vt:lpstr>O&amp;M Costs</vt:lpstr>
      <vt:lpstr>Residual Value Benefits </vt:lpstr>
      <vt:lpstr>West Yard Cost</vt:lpstr>
      <vt:lpstr>East Yard Cost</vt:lpstr>
      <vt:lpstr>Truck FAF Data</vt:lpstr>
      <vt:lpstr>Rail FAF Data</vt:lpstr>
      <vt:lpstr>MOVES</vt:lpstr>
      <vt:lpstr>Inflation</vt:lpstr>
      <vt:lpstr>USDOTBCA_GuidanceFY2026</vt:lpstr>
      <vt:lpstr>Client.Name</vt:lpstr>
      <vt:lpstr>Grant.Name</vt:lpstr>
      <vt:lpstr>Project.Name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Adhikari, Shweta</dc:creator>
  <cp:keywords/>
  <dc:description/>
  <cp:lastModifiedBy>Pogorelsky, Neil</cp:lastModifiedBy>
  <cp:revision/>
  <dcterms:created xsi:type="dcterms:W3CDTF">2015-06-05T18:17:20Z</dcterms:created>
  <dcterms:modified xsi:type="dcterms:W3CDTF">2026-06-25T17:57:06Z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30ee07-aa2b-47c7-bd4c-7cc545b5d455_Enabled">
    <vt:lpwstr>true</vt:lpwstr>
  </property>
  <property fmtid="{D5CDD505-2E9C-101B-9397-08002B2CF9AE}" pid="3" name="MSIP_Label_b530ee07-aa2b-47c7-bd4c-7cc545b5d455_SetDate">
    <vt:lpwstr>2024-05-15T20:36:53Z</vt:lpwstr>
  </property>
  <property fmtid="{D5CDD505-2E9C-101B-9397-08002B2CF9AE}" pid="4" name="MSIP_Label_b530ee07-aa2b-47c7-bd4c-7cc545b5d455_Method">
    <vt:lpwstr>Standard</vt:lpwstr>
  </property>
  <property fmtid="{D5CDD505-2E9C-101B-9397-08002B2CF9AE}" pid="5" name="MSIP_Label_b530ee07-aa2b-47c7-bd4c-7cc545b5d455_Name">
    <vt:lpwstr>HDR General Label</vt:lpwstr>
  </property>
  <property fmtid="{D5CDD505-2E9C-101B-9397-08002B2CF9AE}" pid="6" name="MSIP_Label_b530ee07-aa2b-47c7-bd4c-7cc545b5d455_SiteId">
    <vt:lpwstr>3667e201-cbdc-48b3-9b42-5d2d3f16e2a9</vt:lpwstr>
  </property>
  <property fmtid="{D5CDD505-2E9C-101B-9397-08002B2CF9AE}" pid="7" name="MSIP_Label_b530ee07-aa2b-47c7-bd4c-7cc545b5d455_ActionId">
    <vt:lpwstr>b98cc51e-34ba-4b27-8415-1491b8b418ee</vt:lpwstr>
  </property>
  <property fmtid="{D5CDD505-2E9C-101B-9397-08002B2CF9AE}" pid="8" name="MSIP_Label_b530ee07-aa2b-47c7-bd4c-7cc545b5d455_ContentBits">
    <vt:lpwstr>0</vt:lpwstr>
  </property>
  <property fmtid="{D5CDD505-2E9C-101B-9397-08002B2CF9AE}" pid="9" name="Folder_Number">
    <vt:lpwstr/>
  </property>
  <property fmtid="{D5CDD505-2E9C-101B-9397-08002B2CF9AE}" pid="10" name="Folder_Code">
    <vt:lpwstr/>
  </property>
  <property fmtid="{D5CDD505-2E9C-101B-9397-08002B2CF9AE}" pid="11" name="Folder_Name">
    <vt:lpwstr/>
  </property>
  <property fmtid="{D5CDD505-2E9C-101B-9397-08002B2CF9AE}" pid="12" name="Folder_Description">
    <vt:lpwstr/>
  </property>
  <property fmtid="{D5CDD505-2E9C-101B-9397-08002B2CF9AE}" pid="13" name="/Folder_Name/">
    <vt:lpwstr/>
  </property>
  <property fmtid="{D5CDD505-2E9C-101B-9397-08002B2CF9AE}" pid="14" name="/Folder_Description/">
    <vt:lpwstr/>
  </property>
  <property fmtid="{D5CDD505-2E9C-101B-9397-08002B2CF9AE}" pid="15" name="Folder_Version">
    <vt:lpwstr/>
  </property>
  <property fmtid="{D5CDD505-2E9C-101B-9397-08002B2CF9AE}" pid="16" name="Folder_VersionSeq">
    <vt:lpwstr/>
  </property>
  <property fmtid="{D5CDD505-2E9C-101B-9397-08002B2CF9AE}" pid="17" name="Folder_Manager">
    <vt:lpwstr/>
  </property>
  <property fmtid="{D5CDD505-2E9C-101B-9397-08002B2CF9AE}" pid="18" name="Folder_ManagerDesc">
    <vt:lpwstr/>
  </property>
  <property fmtid="{D5CDD505-2E9C-101B-9397-08002B2CF9AE}" pid="19" name="Folder_Storage">
    <vt:lpwstr/>
  </property>
  <property fmtid="{D5CDD505-2E9C-101B-9397-08002B2CF9AE}" pid="20" name="Folder_StorageDesc">
    <vt:lpwstr/>
  </property>
  <property fmtid="{D5CDD505-2E9C-101B-9397-08002B2CF9AE}" pid="21" name="Folder_Creator">
    <vt:lpwstr/>
  </property>
  <property fmtid="{D5CDD505-2E9C-101B-9397-08002B2CF9AE}" pid="22" name="Folder_CreatorDesc">
    <vt:lpwstr/>
  </property>
  <property fmtid="{D5CDD505-2E9C-101B-9397-08002B2CF9AE}" pid="23" name="Folder_CreateDate">
    <vt:lpwstr/>
  </property>
  <property fmtid="{D5CDD505-2E9C-101B-9397-08002B2CF9AE}" pid="24" name="Folder_Updater">
    <vt:lpwstr/>
  </property>
  <property fmtid="{D5CDD505-2E9C-101B-9397-08002B2CF9AE}" pid="25" name="Folder_UpdaterDesc">
    <vt:lpwstr/>
  </property>
  <property fmtid="{D5CDD505-2E9C-101B-9397-08002B2CF9AE}" pid="26" name="Folder_UpdateDate">
    <vt:lpwstr/>
  </property>
  <property fmtid="{D5CDD505-2E9C-101B-9397-08002B2CF9AE}" pid="27" name="Document_Number">
    <vt:lpwstr/>
  </property>
  <property fmtid="{D5CDD505-2E9C-101B-9397-08002B2CF9AE}" pid="28" name="Document_Name">
    <vt:lpwstr/>
  </property>
  <property fmtid="{D5CDD505-2E9C-101B-9397-08002B2CF9AE}" pid="29" name="Document_FileName">
    <vt:lpwstr/>
  </property>
  <property fmtid="{D5CDD505-2E9C-101B-9397-08002B2CF9AE}" pid="30" name="Document_Version">
    <vt:lpwstr/>
  </property>
  <property fmtid="{D5CDD505-2E9C-101B-9397-08002B2CF9AE}" pid="31" name="Document_VersionSeq">
    <vt:lpwstr/>
  </property>
  <property fmtid="{D5CDD505-2E9C-101B-9397-08002B2CF9AE}" pid="32" name="Document_Creator">
    <vt:lpwstr/>
  </property>
  <property fmtid="{D5CDD505-2E9C-101B-9397-08002B2CF9AE}" pid="33" name="Document_CreatorDesc">
    <vt:lpwstr/>
  </property>
  <property fmtid="{D5CDD505-2E9C-101B-9397-08002B2CF9AE}" pid="34" name="Document_CreateDate">
    <vt:lpwstr/>
  </property>
  <property fmtid="{D5CDD505-2E9C-101B-9397-08002B2CF9AE}" pid="35" name="Document_Updater">
    <vt:lpwstr/>
  </property>
  <property fmtid="{D5CDD505-2E9C-101B-9397-08002B2CF9AE}" pid="36" name="Document_UpdaterDesc">
    <vt:lpwstr/>
  </property>
  <property fmtid="{D5CDD505-2E9C-101B-9397-08002B2CF9AE}" pid="37" name="Document_UpdateDate">
    <vt:lpwstr/>
  </property>
  <property fmtid="{D5CDD505-2E9C-101B-9397-08002B2CF9AE}" pid="38" name="Document_Size">
    <vt:lpwstr/>
  </property>
  <property fmtid="{D5CDD505-2E9C-101B-9397-08002B2CF9AE}" pid="39" name="Document_Storage">
    <vt:lpwstr/>
  </property>
  <property fmtid="{D5CDD505-2E9C-101B-9397-08002B2CF9AE}" pid="40" name="Document_StorageDesc">
    <vt:lpwstr/>
  </property>
  <property fmtid="{D5CDD505-2E9C-101B-9397-08002B2CF9AE}" pid="41" name="Document_Department">
    <vt:lpwstr/>
  </property>
  <property fmtid="{D5CDD505-2E9C-101B-9397-08002B2CF9AE}" pid="42" name="Document_DepartmentDesc">
    <vt:lpwstr/>
  </property>
  <property fmtid="{D5CDD505-2E9C-101B-9397-08002B2CF9AE}" pid="43" name="ContentTypeId">
    <vt:lpwstr>0x010100041D9BAB94F6174B8354B6EA9B8D42C2</vt:lpwstr>
  </property>
</Properties>
</file>